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0"/>
  <workbookPr codeName="ThisWorkbook"/>
  <mc:AlternateContent xmlns:mc="http://schemas.openxmlformats.org/markup-compatibility/2006">
    <mc:Choice Requires="x15">
      <x15ac:absPath xmlns:x15ac="http://schemas.microsoft.com/office/spreadsheetml/2010/11/ac" url="/Users/Ingrid/Dropbox/Acquisitie/Algemene info/"/>
    </mc:Choice>
  </mc:AlternateContent>
  <xr:revisionPtr revIDLastSave="0" documentId="8_{19338838-D68C-8A47-B0FC-0D07AEE87D8C}" xr6:coauthVersionLast="28" xr6:coauthVersionMax="28" xr10:uidLastSave="{00000000-0000-0000-0000-000000000000}"/>
  <workbookProtection workbookAlgorithmName="SHA-512" workbookHashValue="cFlGGPzqq8XDEUU8sc6xjcZxVW9rneXFlHwFn1b5yVvUM1ZaBdIeCqkwJG8YubhEWlMYn5UrwXZ6Pr+0mdXplA==" workbookSaltValue="QHshs3d0AwbFg9gV7ktVig==" workbookSpinCount="100000" lockStructure="1"/>
  <bookViews>
    <workbookView xWindow="0" yWindow="460" windowWidth="28800" windowHeight="16260" activeTab="2" xr2:uid="{00000000-000D-0000-FFFF-FFFF00000000}"/>
  </bookViews>
  <sheets>
    <sheet name="NCW-1 PITH" sheetId="8" state="hidden" r:id="rId1"/>
    <sheet name="NCW-1 Regulier" sheetId="3" state="hidden" r:id="rId2"/>
    <sheet name="Overzicht en kosten" sheetId="6" r:id="rId3"/>
    <sheet name="Spec. systeem" sheetId="5" state="hidden" r:id="rId4"/>
    <sheet name="Spec. steigerkosten" sheetId="10" state="hidden" r:id="rId5"/>
    <sheet name="Voordelen en uitwerking" sheetId="9" state="hidden" r:id="rId6"/>
    <sheet name="NCW-2" sheetId="2" state="hidden" r:id="rId7"/>
    <sheet name="NCW-alt" sheetId="4" state="hidden" r:id="rId8"/>
  </sheets>
  <calcPr calcId="171027"/>
</workbook>
</file>

<file path=xl/calcChain.xml><?xml version="1.0" encoding="utf-8"?>
<calcChain xmlns="http://schemas.openxmlformats.org/spreadsheetml/2006/main">
  <c r="A42" i="5" l="1"/>
  <c r="AH4" i="5"/>
  <c r="AI4" i="5"/>
  <c r="AJ4" i="5"/>
  <c r="AK4" i="5"/>
  <c r="AL4" i="5"/>
  <c r="AM4" i="5"/>
  <c r="AN4" i="5"/>
  <c r="AG5" i="5"/>
  <c r="AH5" i="5"/>
  <c r="AI5" i="5"/>
  <c r="AJ5" i="5"/>
  <c r="AK5" i="5"/>
  <c r="AL5" i="5"/>
  <c r="AM5" i="5"/>
  <c r="AG6" i="5"/>
  <c r="AH6" i="5"/>
  <c r="AI6" i="5"/>
  <c r="AJ6" i="5"/>
  <c r="AL6" i="5"/>
  <c r="AM6" i="5"/>
  <c r="AN6" i="5"/>
  <c r="AG7" i="5"/>
  <c r="AH7" i="5"/>
  <c r="AI7" i="5"/>
  <c r="AJ7" i="5"/>
  <c r="AK7" i="5"/>
  <c r="AL7" i="5"/>
  <c r="AN7" i="5"/>
  <c r="AH8" i="5"/>
  <c r="AI8" i="5"/>
  <c r="AJ8" i="5"/>
  <c r="AK8" i="5"/>
  <c r="AL8" i="5"/>
  <c r="AM8" i="5"/>
  <c r="AN8" i="5"/>
  <c r="AG9" i="5"/>
  <c r="AH9" i="5"/>
  <c r="AI9" i="5"/>
  <c r="AJ9" i="5"/>
  <c r="AK9" i="5"/>
  <c r="AM9" i="5"/>
  <c r="AN9" i="5"/>
  <c r="AG10" i="5"/>
  <c r="AH10" i="5"/>
  <c r="AI10" i="5"/>
  <c r="AJ10" i="5"/>
  <c r="AK10" i="5"/>
  <c r="AL10" i="5"/>
  <c r="AM10" i="5"/>
  <c r="AN10" i="5"/>
  <c r="AG11" i="5"/>
  <c r="AI11" i="5"/>
  <c r="AJ11" i="5"/>
  <c r="AK11" i="5"/>
  <c r="AL11" i="5"/>
  <c r="AM11" i="5"/>
  <c r="AN11" i="5"/>
  <c r="AH12" i="5"/>
  <c r="AI12" i="5"/>
  <c r="AJ12" i="5"/>
  <c r="AK12" i="5"/>
  <c r="AL12" i="5"/>
  <c r="AM12" i="5"/>
  <c r="AN12" i="5"/>
  <c r="AG13" i="5"/>
  <c r="AH13" i="5"/>
  <c r="AI13" i="5"/>
  <c r="AJ13" i="5"/>
  <c r="AK13" i="5"/>
  <c r="AL13" i="5"/>
  <c r="AM13" i="5"/>
  <c r="AN13" i="5"/>
  <c r="AG14" i="5"/>
  <c r="AH14" i="5"/>
  <c r="AI14" i="5"/>
  <c r="AJ14" i="5"/>
  <c r="AL14" i="5"/>
  <c r="AM14" i="5"/>
  <c r="AN14" i="5"/>
  <c r="AG15" i="5"/>
  <c r="AH15" i="5"/>
  <c r="AI15" i="5"/>
  <c r="AJ15" i="5"/>
  <c r="AK15" i="5"/>
  <c r="AL15" i="5"/>
  <c r="AM15" i="5"/>
  <c r="AN15" i="5"/>
  <c r="AH16" i="5"/>
  <c r="AI16" i="5"/>
  <c r="AJ16" i="5"/>
  <c r="AK16" i="5"/>
  <c r="AL16" i="5"/>
  <c r="AM16" i="5"/>
  <c r="AN16" i="5"/>
  <c r="AG17" i="5"/>
  <c r="AH17" i="5"/>
  <c r="AI17" i="5"/>
  <c r="AJ17" i="5"/>
  <c r="AK17" i="5"/>
  <c r="AL17" i="5"/>
  <c r="AM17" i="5"/>
  <c r="AN17" i="5"/>
  <c r="AG18" i="5"/>
  <c r="AH18" i="5"/>
  <c r="AI18" i="5"/>
  <c r="AJ18" i="5"/>
  <c r="AK18" i="5"/>
  <c r="AL18" i="5"/>
  <c r="AM18" i="5"/>
  <c r="AN18" i="5"/>
  <c r="AG19" i="5"/>
  <c r="AH19" i="5"/>
  <c r="AI19" i="5"/>
  <c r="AJ19" i="5"/>
  <c r="AK19" i="5"/>
  <c r="AL19" i="5"/>
  <c r="AM19" i="5"/>
  <c r="AN19" i="5"/>
  <c r="AH20" i="5"/>
  <c r="AI20" i="5"/>
  <c r="AJ20" i="5"/>
  <c r="AK20" i="5"/>
  <c r="AL20" i="5"/>
  <c r="AM20" i="5"/>
  <c r="AN20" i="5"/>
  <c r="AG21" i="5"/>
  <c r="AH21" i="5"/>
  <c r="AJ21" i="5"/>
  <c r="AK21" i="5"/>
  <c r="AM21" i="5"/>
  <c r="AN21" i="5"/>
  <c r="AG22" i="5"/>
  <c r="AH22" i="5"/>
  <c r="AI22" i="5"/>
  <c r="AJ22" i="5"/>
  <c r="AL22" i="5"/>
  <c r="AM22" i="5"/>
  <c r="AN22" i="5"/>
  <c r="AG23" i="5"/>
  <c r="AH23" i="5"/>
  <c r="AI23" i="5"/>
  <c r="AJ23" i="5"/>
  <c r="AK23" i="5"/>
  <c r="AL23" i="5"/>
  <c r="AM23" i="5"/>
  <c r="AN23" i="5"/>
  <c r="AH24" i="5"/>
  <c r="AI24" i="5"/>
  <c r="AJ24" i="5"/>
  <c r="AK24" i="5"/>
  <c r="AL24" i="5"/>
  <c r="AM24" i="5"/>
  <c r="AN24" i="5"/>
  <c r="AG25" i="5"/>
  <c r="AH25" i="5"/>
  <c r="AI25" i="5"/>
  <c r="AJ25" i="5"/>
  <c r="AK25" i="5"/>
  <c r="AL25" i="5"/>
  <c r="AM25" i="5"/>
  <c r="AG26" i="5"/>
  <c r="AH26" i="5"/>
  <c r="AI26" i="5"/>
  <c r="AJ26" i="5"/>
  <c r="AK26" i="5"/>
  <c r="AL26" i="5"/>
  <c r="AM26" i="5"/>
  <c r="AN26" i="5"/>
  <c r="AG27" i="5"/>
  <c r="AH27" i="5"/>
  <c r="AI27" i="5"/>
  <c r="AJ27" i="5"/>
  <c r="AK27" i="5"/>
  <c r="AL27" i="5"/>
  <c r="AM27" i="5"/>
  <c r="AN27" i="5"/>
  <c r="AH28" i="5"/>
  <c r="AI28" i="5"/>
  <c r="AK28" i="5"/>
  <c r="AL28" i="5"/>
  <c r="AM28" i="5"/>
  <c r="AN28" i="5"/>
  <c r="AG29" i="5"/>
  <c r="AI29" i="5"/>
  <c r="AJ29" i="5"/>
  <c r="AK29" i="5"/>
  <c r="AL29" i="5"/>
  <c r="AN29" i="5"/>
  <c r="AG30" i="5"/>
  <c r="AH30" i="5"/>
  <c r="AI30" i="5"/>
  <c r="AJ30" i="5"/>
  <c r="AL30" i="5"/>
  <c r="AM30" i="5"/>
  <c r="AN30" i="5"/>
  <c r="AG31" i="5"/>
  <c r="AH31" i="5"/>
  <c r="AI31" i="5"/>
  <c r="AJ31" i="5"/>
  <c r="AK31" i="5"/>
  <c r="AL31" i="5"/>
  <c r="AM31" i="5"/>
  <c r="AN31" i="5"/>
  <c r="AH32" i="5"/>
  <c r="AI32" i="5"/>
  <c r="AJ32" i="5"/>
  <c r="AK32" i="5"/>
  <c r="AL32" i="5"/>
  <c r="AM32" i="5"/>
  <c r="AN32" i="5"/>
  <c r="AG33" i="5"/>
  <c r="AH33" i="5"/>
  <c r="AI33" i="5"/>
  <c r="AJ33" i="5"/>
  <c r="AK33" i="5"/>
  <c r="AM33" i="5"/>
  <c r="AN33" i="5"/>
  <c r="AG34" i="5"/>
  <c r="AH34" i="5"/>
  <c r="AI34" i="5"/>
  <c r="AJ34" i="5"/>
  <c r="AK34" i="5"/>
  <c r="AL34" i="5"/>
  <c r="AM34" i="5"/>
  <c r="AN34" i="5"/>
  <c r="AG35" i="5"/>
  <c r="AH35" i="5"/>
  <c r="AI35" i="5"/>
  <c r="AJ35" i="5"/>
  <c r="AK35" i="5"/>
  <c r="AL35" i="5"/>
  <c r="AM35" i="5"/>
  <c r="AN35" i="5"/>
  <c r="AH36" i="5"/>
  <c r="AI36" i="5"/>
  <c r="AJ36" i="5"/>
  <c r="AK36" i="5"/>
  <c r="AL36" i="5"/>
  <c r="AM36" i="5"/>
  <c r="AN36" i="5"/>
  <c r="AG37" i="5"/>
  <c r="AH37" i="5"/>
  <c r="AI37" i="5"/>
  <c r="AJ37" i="5"/>
  <c r="AK37" i="5"/>
  <c r="AL37" i="5"/>
  <c r="AM37" i="5"/>
  <c r="AN37" i="5"/>
  <c r="AG38" i="5"/>
  <c r="AH38" i="5"/>
  <c r="AI38" i="5"/>
  <c r="AJ38" i="5"/>
  <c r="AL38" i="5"/>
  <c r="AM38" i="5"/>
  <c r="AN38" i="5"/>
  <c r="AG39" i="5"/>
  <c r="AH39" i="5"/>
  <c r="AJ39" i="5"/>
  <c r="AK39" i="5"/>
  <c r="AL39" i="5"/>
  <c r="AM39" i="5"/>
  <c r="AN39" i="5"/>
  <c r="AH40" i="5"/>
  <c r="AI40" i="5"/>
  <c r="AJ40" i="5"/>
  <c r="AK40" i="5"/>
  <c r="AL40" i="5"/>
  <c r="AM40" i="5"/>
  <c r="AN40" i="5"/>
  <c r="AG41" i="5"/>
  <c r="AH41" i="5"/>
  <c r="AI41" i="5"/>
  <c r="AJ41" i="5"/>
  <c r="AK41" i="5"/>
  <c r="AL41" i="5"/>
  <c r="AM41" i="5"/>
  <c r="AN41" i="5"/>
  <c r="AG42" i="5"/>
  <c r="AH42" i="5"/>
  <c r="AI42" i="5"/>
  <c r="AJ42" i="5"/>
  <c r="AK42" i="5"/>
  <c r="AL42" i="5"/>
  <c r="AM42" i="5"/>
  <c r="AN42" i="5"/>
  <c r="AG43" i="5"/>
  <c r="AH43" i="5"/>
  <c r="AI43" i="5"/>
  <c r="AJ43" i="5"/>
  <c r="AK43" i="5"/>
  <c r="AL43" i="5"/>
  <c r="AM43" i="5"/>
  <c r="AN43" i="5"/>
  <c r="AH44" i="5"/>
  <c r="AI44" i="5"/>
  <c r="AJ44" i="5"/>
  <c r="AK44" i="5"/>
  <c r="AL44" i="5"/>
  <c r="AM44" i="5"/>
  <c r="AN44" i="5"/>
  <c r="AG45" i="5"/>
  <c r="AH45" i="5"/>
  <c r="AI45" i="5"/>
  <c r="AJ45" i="5"/>
  <c r="AK45" i="5"/>
  <c r="AM45" i="5"/>
  <c r="AG46" i="5"/>
  <c r="AH46" i="5"/>
  <c r="AI46" i="5"/>
  <c r="AJ46" i="5"/>
  <c r="AL46" i="5"/>
  <c r="AM46" i="5"/>
  <c r="AN46" i="5"/>
  <c r="AG47" i="5"/>
  <c r="AI47" i="5"/>
  <c r="AJ47" i="5"/>
  <c r="AK47" i="5"/>
  <c r="AL47" i="5"/>
  <c r="AM47" i="5"/>
  <c r="AN47" i="5"/>
  <c r="AH48" i="5"/>
  <c r="AI48" i="5"/>
  <c r="AJ48" i="5"/>
  <c r="AK48" i="5"/>
  <c r="AL48" i="5"/>
  <c r="AM48" i="5"/>
  <c r="AN48" i="5"/>
  <c r="AG49" i="5"/>
  <c r="AH49" i="5"/>
  <c r="AI49" i="5"/>
  <c r="AJ49" i="5"/>
  <c r="AK49" i="5"/>
  <c r="AL49" i="5"/>
  <c r="AM49" i="5"/>
  <c r="AN49" i="5"/>
  <c r="AG50" i="5"/>
  <c r="AH50" i="5"/>
  <c r="AI50" i="5"/>
  <c r="AJ50" i="5"/>
  <c r="AK50" i="5"/>
  <c r="AL50" i="5"/>
  <c r="AM50" i="5"/>
  <c r="AN50" i="5"/>
  <c r="AG51" i="5"/>
  <c r="AH51" i="5"/>
  <c r="AI51" i="5"/>
  <c r="AJ51" i="5"/>
  <c r="AK51" i="5"/>
  <c r="AL51" i="5"/>
  <c r="AN51" i="5"/>
  <c r="AH52" i="5"/>
  <c r="AI52" i="5"/>
  <c r="AJ52" i="5"/>
  <c r="AK52" i="5"/>
  <c r="AL52" i="5"/>
  <c r="AM52" i="5"/>
  <c r="AN52" i="5"/>
  <c r="AG3" i="5"/>
  <c r="AH3" i="5"/>
  <c r="AK3" i="5"/>
  <c r="AL3" i="5"/>
  <c r="AM3" i="5"/>
  <c r="AN3" i="5"/>
  <c r="Y52" i="5"/>
  <c r="Y51" i="5"/>
  <c r="Y50" i="5"/>
  <c r="Y49" i="5"/>
  <c r="Y48" i="5"/>
  <c r="Y47" i="5"/>
  <c r="Y46" i="5"/>
  <c r="Y45" i="5"/>
  <c r="Y44" i="5"/>
  <c r="Y43" i="5"/>
  <c r="Y42" i="5"/>
  <c r="Y41" i="5"/>
  <c r="Y40" i="5"/>
  <c r="Y39" i="5"/>
  <c r="Y38" i="5"/>
  <c r="Y37" i="5"/>
  <c r="Y36" i="5"/>
  <c r="Y35" i="5"/>
  <c r="Y34" i="5"/>
  <c r="Y33" i="5"/>
  <c r="Y32" i="5"/>
  <c r="Y31" i="5"/>
  <c r="Y30" i="5"/>
  <c r="Y29" i="5"/>
  <c r="Y28" i="5"/>
  <c r="Y27" i="5"/>
  <c r="Y26" i="5"/>
  <c r="Y25" i="5"/>
  <c r="Y24" i="5"/>
  <c r="Y23" i="5"/>
  <c r="Y22" i="5"/>
  <c r="Y21" i="5"/>
  <c r="Y20" i="5"/>
  <c r="Y19" i="5"/>
  <c r="Y18" i="5"/>
  <c r="Y17" i="5"/>
  <c r="Y16" i="5"/>
  <c r="Y15" i="5"/>
  <c r="Y14" i="5"/>
  <c r="Y13" i="5"/>
  <c r="Y12" i="5"/>
  <c r="Y11" i="5"/>
  <c r="Y10" i="5"/>
  <c r="Y9" i="5"/>
  <c r="Y8" i="5"/>
  <c r="Y7" i="5"/>
  <c r="Y6" i="5"/>
  <c r="Y5" i="5"/>
  <c r="Y4" i="5"/>
  <c r="Y3" i="5"/>
  <c r="D33" i="3"/>
  <c r="G12" i="3"/>
  <c r="D73" i="3" s="1"/>
  <c r="G12" i="8"/>
  <c r="A83" i="8"/>
  <c r="F83" i="8" s="1"/>
  <c r="G83" i="8" s="1"/>
  <c r="K32" i="10"/>
  <c r="L30" i="10"/>
  <c r="M30" i="10"/>
  <c r="L29" i="10"/>
  <c r="M29" i="10"/>
  <c r="L28" i="10"/>
  <c r="M28" i="10"/>
  <c r="L27" i="10"/>
  <c r="M27" i="10"/>
  <c r="M26" i="10"/>
  <c r="L25" i="10"/>
  <c r="M25" i="10"/>
  <c r="M44" i="10"/>
  <c r="M43" i="10"/>
  <c r="M45" i="10"/>
  <c r="M39" i="10"/>
  <c r="M40" i="10"/>
  <c r="M38" i="10"/>
  <c r="M32" i="10"/>
  <c r="G24" i="5"/>
  <c r="N52" i="5" s="1"/>
  <c r="C12" i="5"/>
  <c r="C13" i="5"/>
  <c r="C15" i="5"/>
  <c r="C16" i="5"/>
  <c r="E16" i="5"/>
  <c r="C17" i="5"/>
  <c r="E17" i="5"/>
  <c r="D37" i="5"/>
  <c r="E37" i="5"/>
  <c r="E41" i="5" s="1"/>
  <c r="E42" i="5" s="1"/>
  <c r="E45" i="5" s="1"/>
  <c r="E46" i="5" s="1"/>
  <c r="D38" i="5"/>
  <c r="E38" i="5"/>
  <c r="D39" i="5"/>
  <c r="E39" i="5"/>
  <c r="D40" i="5"/>
  <c r="E40" i="5"/>
  <c r="D43" i="5"/>
  <c r="E43" i="5"/>
  <c r="G22" i="5"/>
  <c r="L3" i="5" s="1"/>
  <c r="G23" i="5"/>
  <c r="M13" i="5"/>
  <c r="G26" i="5"/>
  <c r="P39" i="5"/>
  <c r="AI39" i="5"/>
  <c r="G27" i="5"/>
  <c r="Q28" i="5"/>
  <c r="AJ28" i="5"/>
  <c r="G32" i="5"/>
  <c r="V11" i="5"/>
  <c r="AO11" i="5"/>
  <c r="C23" i="10"/>
  <c r="C26" i="10"/>
  <c r="C34" i="10"/>
  <c r="C40" i="10"/>
  <c r="E9" i="5"/>
  <c r="E8" i="5"/>
  <c r="E7" i="5"/>
  <c r="L45" i="6"/>
  <c r="L43" i="6"/>
  <c r="L41" i="6"/>
  <c r="L39" i="6"/>
  <c r="L37" i="6"/>
  <c r="L35" i="6"/>
  <c r="L33" i="6"/>
  <c r="L31" i="6"/>
  <c r="L29" i="6"/>
  <c r="L27" i="6"/>
  <c r="L25" i="6"/>
  <c r="E33" i="5"/>
  <c r="W6" i="5"/>
  <c r="W1" i="5"/>
  <c r="H33" i="5"/>
  <c r="W3" i="5"/>
  <c r="W5" i="5"/>
  <c r="W7" i="5"/>
  <c r="W9" i="5"/>
  <c r="W10" i="5"/>
  <c r="W11" i="5"/>
  <c r="W13" i="5"/>
  <c r="W14" i="5"/>
  <c r="W15" i="5"/>
  <c r="W17" i="5"/>
  <c r="W18" i="5"/>
  <c r="W19" i="5"/>
  <c r="W21" i="5"/>
  <c r="W22" i="5"/>
  <c r="W23" i="5"/>
  <c r="W25" i="5"/>
  <c r="W26" i="5"/>
  <c r="W27" i="5"/>
  <c r="W29" i="5"/>
  <c r="W30" i="5"/>
  <c r="W31" i="5"/>
  <c r="W33" i="5"/>
  <c r="W34" i="5"/>
  <c r="W35" i="5"/>
  <c r="W37" i="5"/>
  <c r="W38" i="5"/>
  <c r="W39" i="5"/>
  <c r="W41" i="5"/>
  <c r="W42" i="5"/>
  <c r="W43" i="5"/>
  <c r="W45" i="5"/>
  <c r="W46" i="5"/>
  <c r="W47" i="5"/>
  <c r="W49" i="5"/>
  <c r="W50" i="5"/>
  <c r="W51" i="5"/>
  <c r="W2" i="5"/>
  <c r="V2" i="5"/>
  <c r="U2" i="5"/>
  <c r="T2" i="5"/>
  <c r="S2" i="5"/>
  <c r="R2" i="5"/>
  <c r="Q2" i="5"/>
  <c r="P2" i="5"/>
  <c r="O2" i="5"/>
  <c r="N2" i="5"/>
  <c r="M2" i="5"/>
  <c r="L2" i="5"/>
  <c r="K45" i="6"/>
  <c r="K43" i="6"/>
  <c r="K41" i="6"/>
  <c r="K39" i="6"/>
  <c r="K37" i="6"/>
  <c r="K35" i="6"/>
  <c r="K33" i="6"/>
  <c r="K31" i="6"/>
  <c r="K29" i="6"/>
  <c r="K27" i="6"/>
  <c r="K25" i="6"/>
  <c r="J45" i="6"/>
  <c r="J43" i="6"/>
  <c r="J41" i="6"/>
  <c r="J39" i="6"/>
  <c r="J37" i="6"/>
  <c r="J35" i="6"/>
  <c r="J33" i="6"/>
  <c r="J31" i="6"/>
  <c r="J29" i="6"/>
  <c r="J27" i="6"/>
  <c r="J25" i="6"/>
  <c r="G30" i="5"/>
  <c r="T29" i="5"/>
  <c r="AM29" i="5"/>
  <c r="G31" i="5"/>
  <c r="U5" i="5"/>
  <c r="AN5" i="5"/>
  <c r="E10" i="5"/>
  <c r="G25" i="5"/>
  <c r="O11" i="5"/>
  <c r="AH11" i="5"/>
  <c r="G28" i="5"/>
  <c r="R22" i="5"/>
  <c r="AK22" i="5"/>
  <c r="G29" i="5"/>
  <c r="H29" i="5"/>
  <c r="D79" i="3"/>
  <c r="E79" i="3"/>
  <c r="D77" i="3"/>
  <c r="E77" i="3"/>
  <c r="D79" i="8"/>
  <c r="E79" i="8"/>
  <c r="C83" i="8"/>
  <c r="E83" i="8"/>
  <c r="D83" i="8"/>
  <c r="C75" i="8"/>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24" i="4"/>
  <c r="C25" i="4"/>
  <c r="C26" i="4"/>
  <c r="C27" i="4"/>
  <c r="C28" i="4"/>
  <c r="C29" i="4"/>
  <c r="C30" i="4"/>
  <c r="C31" i="4"/>
  <c r="C32" i="4"/>
  <c r="C33" i="4"/>
  <c r="C34" i="4"/>
  <c r="C35" i="4"/>
  <c r="C36" i="4"/>
  <c r="C37" i="4"/>
  <c r="C38" i="4"/>
  <c r="C39" i="4"/>
  <c r="C40"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23" i="4"/>
  <c r="C24" i="2"/>
  <c r="C14" i="3"/>
  <c r="C75" i="3"/>
  <c r="C73" i="2"/>
  <c r="C72" i="2"/>
  <c r="C71" i="2"/>
  <c r="C70" i="2"/>
  <c r="C69" i="2"/>
  <c r="C68" i="2"/>
  <c r="C43" i="2"/>
  <c r="C44" i="2"/>
  <c r="C45" i="2"/>
  <c r="C46" i="2"/>
  <c r="C47" i="2"/>
  <c r="C48" i="2"/>
  <c r="C49" i="2"/>
  <c r="C50" i="2"/>
  <c r="C51" i="2"/>
  <c r="C52" i="2"/>
  <c r="C53" i="2"/>
  <c r="C54" i="2"/>
  <c r="C55" i="2"/>
  <c r="C56" i="2"/>
  <c r="C57" i="2"/>
  <c r="C58" i="2"/>
  <c r="C59" i="2"/>
  <c r="C60" i="2"/>
  <c r="C61" i="2"/>
  <c r="C62" i="2"/>
  <c r="C63" i="2"/>
  <c r="C64" i="2"/>
  <c r="C65" i="2"/>
  <c r="C66" i="2"/>
  <c r="C67" i="2"/>
  <c r="C25" i="2"/>
  <c r="C26" i="2"/>
  <c r="C27" i="2"/>
  <c r="C28" i="2"/>
  <c r="C29" i="2"/>
  <c r="C30" i="2"/>
  <c r="C31" i="2"/>
  <c r="C32" i="2"/>
  <c r="C33" i="2"/>
  <c r="C34" i="2"/>
  <c r="C35" i="2"/>
  <c r="C36" i="2"/>
  <c r="C37" i="2"/>
  <c r="C38" i="2"/>
  <c r="C39" i="2"/>
  <c r="C40" i="2"/>
  <c r="C41" i="2"/>
  <c r="C42" i="2"/>
  <c r="D83" i="3"/>
  <c r="C83" i="3"/>
  <c r="C23" i="4"/>
  <c r="B22" i="4"/>
  <c r="H22" i="4"/>
  <c r="D8" i="4"/>
  <c r="G6" i="2"/>
  <c r="D6" i="4"/>
  <c r="C6" i="2"/>
  <c r="D4" i="4"/>
  <c r="C4" i="2"/>
  <c r="G11" i="2"/>
  <c r="C83" i="2"/>
  <c r="E83" i="2"/>
  <c r="C13" i="2"/>
  <c r="C12" i="2"/>
  <c r="D78" i="2"/>
  <c r="E78" i="2"/>
  <c r="C11" i="2"/>
  <c r="D77" i="2"/>
  <c r="F74" i="4"/>
  <c r="E74" i="4"/>
  <c r="D78" i="3"/>
  <c r="D81" i="3"/>
  <c r="E83" i="3"/>
  <c r="D79" i="2"/>
  <c r="E79" i="2"/>
  <c r="D78" i="8"/>
  <c r="E78" i="8"/>
  <c r="E78" i="3"/>
  <c r="V41" i="5"/>
  <c r="AO41" i="5"/>
  <c r="M31" i="10"/>
  <c r="M34" i="10"/>
  <c r="W4" i="5"/>
  <c r="W8" i="5"/>
  <c r="W12" i="5"/>
  <c r="W16" i="5"/>
  <c r="W20" i="5"/>
  <c r="W24" i="5"/>
  <c r="W28" i="5"/>
  <c r="W32" i="5"/>
  <c r="W36" i="5"/>
  <c r="W40" i="5"/>
  <c r="W44" i="5"/>
  <c r="W48" i="5"/>
  <c r="W52" i="5"/>
  <c r="V12" i="5"/>
  <c r="AO12" i="5"/>
  <c r="S21" i="5"/>
  <c r="AL21" i="5"/>
  <c r="L28" i="5"/>
  <c r="AE28" i="5"/>
  <c r="V17" i="5"/>
  <c r="AO17" i="5"/>
  <c r="N44" i="5"/>
  <c r="AG44" i="5" s="1"/>
  <c r="V32" i="5"/>
  <c r="AO32" i="5"/>
  <c r="N40" i="5"/>
  <c r="AG40" i="5" s="1"/>
  <c r="C74" i="4"/>
  <c r="C75" i="2"/>
  <c r="B74" i="4"/>
  <c r="D81" i="2"/>
  <c r="E77" i="2"/>
  <c r="C14" i="2"/>
  <c r="C14" i="5"/>
  <c r="E14" i="5"/>
  <c r="C18" i="5"/>
  <c r="E47" i="5"/>
  <c r="E13" i="5"/>
  <c r="E18" i="5"/>
  <c r="U45" i="5"/>
  <c r="AN45" i="5"/>
  <c r="P3" i="5"/>
  <c r="AI3" i="5"/>
  <c r="N24" i="5"/>
  <c r="AG24" i="5"/>
  <c r="P21" i="5"/>
  <c r="AI21" i="5"/>
  <c r="N20" i="5"/>
  <c r="AG20" i="5"/>
  <c r="N12" i="5"/>
  <c r="AG12" i="5" s="1"/>
  <c r="O47" i="5"/>
  <c r="AH47" i="5"/>
  <c r="R38" i="5"/>
  <c r="AK38" i="5"/>
  <c r="N36" i="5"/>
  <c r="AG36" i="5"/>
  <c r="S45" i="5"/>
  <c r="AL45" i="5"/>
  <c r="V37" i="5"/>
  <c r="AO37" i="5"/>
  <c r="V13" i="5"/>
  <c r="AO13" i="5"/>
  <c r="V28" i="5"/>
  <c r="AO28" i="5"/>
  <c r="V8" i="5"/>
  <c r="AO8" i="5"/>
  <c r="V48" i="5"/>
  <c r="AO48" i="5"/>
  <c r="V40" i="5"/>
  <c r="AO40" i="5"/>
  <c r="V31" i="5"/>
  <c r="AO31" i="5"/>
  <c r="V22" i="5"/>
  <c r="AO22" i="5"/>
  <c r="V10" i="5"/>
  <c r="AO10" i="5"/>
  <c r="V9" i="5"/>
  <c r="AO9" i="5"/>
  <c r="V24" i="5"/>
  <c r="AO24" i="5"/>
  <c r="V46" i="5"/>
  <c r="AO46" i="5"/>
  <c r="V39" i="5"/>
  <c r="AO39" i="5"/>
  <c r="V30" i="5"/>
  <c r="AO30" i="5"/>
  <c r="V18" i="5"/>
  <c r="AO18" i="5"/>
  <c r="V7" i="5"/>
  <c r="AO7" i="5"/>
  <c r="V50" i="5"/>
  <c r="AO50" i="5"/>
  <c r="V43" i="5"/>
  <c r="AO43" i="5"/>
  <c r="V34" i="5"/>
  <c r="AO34" i="5"/>
  <c r="V23" i="5"/>
  <c r="AO23" i="5"/>
  <c r="V14" i="5"/>
  <c r="AO14" i="5"/>
  <c r="V4" i="5"/>
  <c r="AO4" i="5"/>
  <c r="V29" i="5"/>
  <c r="AO29" i="5"/>
  <c r="V45" i="5"/>
  <c r="AO45" i="5"/>
  <c r="V21" i="5"/>
  <c r="AO21" i="5"/>
  <c r="V5" i="5"/>
  <c r="AO5" i="5"/>
  <c r="V16" i="5"/>
  <c r="AO16" i="5"/>
  <c r="V51" i="5"/>
  <c r="AO51" i="5"/>
  <c r="V44" i="5"/>
  <c r="AO44" i="5"/>
  <c r="V38" i="5"/>
  <c r="AO38" i="5"/>
  <c r="V26" i="5"/>
  <c r="AO26" i="5"/>
  <c r="V15" i="5"/>
  <c r="AO15" i="5"/>
  <c r="V6" i="5"/>
  <c r="AO6" i="5"/>
  <c r="U25" i="5"/>
  <c r="AN25" i="5"/>
  <c r="S33" i="5"/>
  <c r="AL33" i="5"/>
  <c r="S9" i="5"/>
  <c r="AL9" i="5"/>
  <c r="R6" i="5"/>
  <c r="AK6" i="5"/>
  <c r="R46" i="5"/>
  <c r="AK46" i="5"/>
  <c r="N4" i="5"/>
  <c r="AG4" i="5" s="1"/>
  <c r="AP4" i="5" s="1"/>
  <c r="X4" i="5" s="1"/>
  <c r="Z4" i="5" s="1"/>
  <c r="N28" i="5"/>
  <c r="AG28" i="5" s="1"/>
  <c r="N8" i="5"/>
  <c r="AG8" i="5" s="1"/>
  <c r="L17" i="5"/>
  <c r="AE17" i="5"/>
  <c r="L25" i="5"/>
  <c r="AE25" i="5" s="1"/>
  <c r="L45" i="5"/>
  <c r="AE45" i="5"/>
  <c r="L7" i="5"/>
  <c r="AE7" i="5" s="1"/>
  <c r="L4" i="5"/>
  <c r="L44" i="5"/>
  <c r="AE44" i="5" s="1"/>
  <c r="L35" i="5"/>
  <c r="AE35" i="5" s="1"/>
  <c r="L40" i="5"/>
  <c r="AE40" i="5"/>
  <c r="L20" i="5"/>
  <c r="AE20" i="5" s="1"/>
  <c r="L43" i="5"/>
  <c r="AE43" i="5"/>
  <c r="L33" i="5"/>
  <c r="AE33" i="5" s="1"/>
  <c r="L23" i="5"/>
  <c r="AE23" i="5"/>
  <c r="L14" i="5"/>
  <c r="AE14" i="5" s="1"/>
  <c r="L36" i="5"/>
  <c r="AE36" i="5"/>
  <c r="L12" i="5"/>
  <c r="AE12" i="5" s="1"/>
  <c r="R30" i="5"/>
  <c r="AK30" i="5"/>
  <c r="L50" i="5"/>
  <c r="AE50" i="5" s="1"/>
  <c r="L39" i="5"/>
  <c r="AE39" i="5"/>
  <c r="L30" i="5"/>
  <c r="AE30" i="5" s="1"/>
  <c r="L22" i="5"/>
  <c r="AE22" i="5"/>
  <c r="L11" i="5"/>
  <c r="AE11" i="5" s="1"/>
  <c r="L52" i="5"/>
  <c r="AE52" i="5"/>
  <c r="L32" i="5"/>
  <c r="AE32" i="5" s="1"/>
  <c r="L8" i="5"/>
  <c r="AE8" i="5"/>
  <c r="R14" i="5"/>
  <c r="AK14" i="5"/>
  <c r="L46" i="5"/>
  <c r="AE46" i="5"/>
  <c r="L38" i="5"/>
  <c r="AE38" i="5" s="1"/>
  <c r="L29" i="5"/>
  <c r="AE29" i="5"/>
  <c r="L18" i="5"/>
  <c r="AE18" i="5" s="1"/>
  <c r="L9" i="5"/>
  <c r="AE9" i="5"/>
  <c r="T51" i="5"/>
  <c r="AM51" i="5"/>
  <c r="Q3" i="5"/>
  <c r="H27" i="5"/>
  <c r="T7" i="5"/>
  <c r="AM7" i="5"/>
  <c r="L5" i="5"/>
  <c r="AE5" i="5"/>
  <c r="L10" i="5"/>
  <c r="AE10" i="5" s="1"/>
  <c r="L15" i="5"/>
  <c r="AE15" i="5"/>
  <c r="L21" i="5"/>
  <c r="AE21" i="5" s="1"/>
  <c r="L26" i="5"/>
  <c r="AE26" i="5"/>
  <c r="L31" i="5"/>
  <c r="AE31" i="5" s="1"/>
  <c r="L37" i="5"/>
  <c r="AE37" i="5"/>
  <c r="L42" i="5"/>
  <c r="AE42" i="5" s="1"/>
  <c r="L47" i="5"/>
  <c r="AE47" i="5"/>
  <c r="L51" i="5"/>
  <c r="AE51" i="5" s="1"/>
  <c r="L16" i="5"/>
  <c r="AE16" i="5"/>
  <c r="L24" i="5"/>
  <c r="AE24" i="5" s="1"/>
  <c r="L48" i="5"/>
  <c r="AE48" i="5"/>
  <c r="O29" i="5"/>
  <c r="AH29" i="5"/>
  <c r="L49" i="5"/>
  <c r="AE49" i="5"/>
  <c r="L41" i="5"/>
  <c r="L34" i="5"/>
  <c r="AE34" i="5"/>
  <c r="L27" i="5"/>
  <c r="AE27" i="5" s="1"/>
  <c r="L19" i="5"/>
  <c r="AE19" i="5"/>
  <c r="L13" i="5"/>
  <c r="AE13" i="5" s="1"/>
  <c r="L6" i="5"/>
  <c r="AE6" i="5"/>
  <c r="V49" i="5"/>
  <c r="AO49" i="5"/>
  <c r="V33" i="5"/>
  <c r="AO33" i="5"/>
  <c r="V25" i="5"/>
  <c r="AO25" i="5"/>
  <c r="V36" i="5"/>
  <c r="AO36" i="5"/>
  <c r="V20" i="5"/>
  <c r="AO20" i="5"/>
  <c r="V3" i="5"/>
  <c r="V52" i="5"/>
  <c r="AO52" i="5"/>
  <c r="V47" i="5"/>
  <c r="AO47" i="5"/>
  <c r="V42" i="5"/>
  <c r="AO42" i="5"/>
  <c r="V35" i="5"/>
  <c r="AO35" i="5"/>
  <c r="V27" i="5"/>
  <c r="AO27" i="5"/>
  <c r="V19" i="5"/>
  <c r="AO19" i="5"/>
  <c r="N48" i="5"/>
  <c r="AG48" i="5" s="1"/>
  <c r="AP48" i="5" s="1"/>
  <c r="X48" i="5" s="1"/>
  <c r="Z48" i="5" s="1"/>
  <c r="N32" i="5"/>
  <c r="AG32" i="5" s="1"/>
  <c r="N16" i="5"/>
  <c r="AG16" i="5" s="1"/>
  <c r="AP16" i="5" s="1"/>
  <c r="X16" i="5" s="1"/>
  <c r="Z16" i="5" s="1"/>
  <c r="Q1" i="5"/>
  <c r="AJ3" i="5"/>
  <c r="AE4" i="5"/>
  <c r="H22" i="5"/>
  <c r="AO3" i="5"/>
  <c r="V1" i="5"/>
  <c r="AE41" i="5"/>
  <c r="U1" i="5"/>
  <c r="H31" i="5"/>
  <c r="E15" i="5"/>
  <c r="E19" i="5"/>
  <c r="P1" i="5"/>
  <c r="H26" i="5"/>
  <c r="S1" i="5"/>
  <c r="O1" i="5"/>
  <c r="H25" i="5"/>
  <c r="R1" i="5"/>
  <c r="H28" i="5"/>
  <c r="T1" i="5"/>
  <c r="H30" i="5"/>
  <c r="H32" i="5"/>
  <c r="D43" i="8"/>
  <c r="E43" i="8" s="1"/>
  <c r="G43" i="8" s="1"/>
  <c r="D37" i="8"/>
  <c r="E37" i="8" s="1"/>
  <c r="G37" i="8" s="1"/>
  <c r="D52" i="8"/>
  <c r="E52" i="8" s="1"/>
  <c r="G52" i="8" s="1"/>
  <c r="D47" i="8"/>
  <c r="E47" i="8" s="1"/>
  <c r="G47" i="8" s="1"/>
  <c r="D36" i="8"/>
  <c r="E36" i="8" s="1"/>
  <c r="G36" i="8" s="1"/>
  <c r="D67" i="8"/>
  <c r="E67" i="8" s="1"/>
  <c r="G67" i="8" s="1"/>
  <c r="D53" i="8"/>
  <c r="E53" i="8" s="1"/>
  <c r="G53" i="8" s="1"/>
  <c r="D27" i="8"/>
  <c r="E27" i="8" s="1"/>
  <c r="G27" i="8" s="1"/>
  <c r="D50" i="8"/>
  <c r="E50" i="8" s="1"/>
  <c r="G50" i="8" s="1"/>
  <c r="D69" i="8"/>
  <c r="E69" i="8" s="1"/>
  <c r="G69" i="8" s="1"/>
  <c r="D29" i="8"/>
  <c r="E29" i="8" s="1"/>
  <c r="G29" i="8" s="1"/>
  <c r="D30" i="8"/>
  <c r="E30" i="8" s="1"/>
  <c r="G30" i="8" s="1"/>
  <c r="D61" i="8"/>
  <c r="E61" i="8" s="1"/>
  <c r="G61" i="8" s="1"/>
  <c r="D51" i="8"/>
  <c r="E51" i="8" s="1"/>
  <c r="G51" i="8" s="1"/>
  <c r="D71" i="8"/>
  <c r="E71" i="8" s="1"/>
  <c r="G71" i="8" s="1"/>
  <c r="D41" i="8"/>
  <c r="E41" i="8" s="1"/>
  <c r="G41" i="8" s="1"/>
  <c r="D63" i="8"/>
  <c r="E63" i="8" s="1"/>
  <c r="G63" i="8" s="1"/>
  <c r="D58" i="8"/>
  <c r="E58" i="8" s="1"/>
  <c r="G58" i="8" s="1"/>
  <c r="D38" i="8"/>
  <c r="E38" i="8"/>
  <c r="G38" i="8" s="1"/>
  <c r="D54" i="8"/>
  <c r="E54" i="8"/>
  <c r="G54" i="8" s="1"/>
  <c r="D73" i="8"/>
  <c r="E73" i="8" s="1"/>
  <c r="G73" i="8" s="1"/>
  <c r="D33" i="8"/>
  <c r="E33" i="8" s="1"/>
  <c r="G33" i="8" s="1"/>
  <c r="D34" i="8"/>
  <c r="E34" i="8" s="1"/>
  <c r="G34" i="8" s="1"/>
  <c r="D44" i="8"/>
  <c r="E44" i="8" s="1"/>
  <c r="G44" i="8" s="1"/>
  <c r="D70" i="8"/>
  <c r="E70" i="8" s="1"/>
  <c r="G70" i="8" s="1"/>
  <c r="D31" i="8"/>
  <c r="E31" i="8" s="1"/>
  <c r="G31" i="8" s="1"/>
  <c r="D66" i="8"/>
  <c r="E66" i="8"/>
  <c r="G66" i="8" s="1"/>
  <c r="D48" i="8"/>
  <c r="E48" i="8" s="1"/>
  <c r="G48" i="8" s="1"/>
  <c r="D45" i="8"/>
  <c r="E45" i="8" s="1"/>
  <c r="G45" i="8" s="1"/>
  <c r="D68" i="8"/>
  <c r="E68" i="8" s="1"/>
  <c r="G68" i="8" s="1"/>
  <c r="D59" i="8"/>
  <c r="E59" i="8" s="1"/>
  <c r="G59" i="8" s="1"/>
  <c r="D32" i="8"/>
  <c r="E32" i="8" s="1"/>
  <c r="G32" i="8" s="1"/>
  <c r="D28" i="8"/>
  <c r="E28" i="8" s="1"/>
  <c r="G28" i="8" s="1"/>
  <c r="D39" i="8"/>
  <c r="E39" i="8" s="1"/>
  <c r="G39" i="8" s="1"/>
  <c r="D40" i="8"/>
  <c r="E40" i="8" s="1"/>
  <c r="G40" i="8" s="1"/>
  <c r="D57" i="8"/>
  <c r="E57" i="8" s="1"/>
  <c r="G57" i="8" s="1"/>
  <c r="D72" i="8"/>
  <c r="E72" i="8" s="1"/>
  <c r="G72" i="8" s="1"/>
  <c r="D64" i="8"/>
  <c r="E64" i="8" s="1"/>
  <c r="G64" i="8" s="1"/>
  <c r="D26" i="8"/>
  <c r="E26" i="8" s="1"/>
  <c r="G26" i="8" s="1"/>
  <c r="D56" i="8"/>
  <c r="E56" i="8" s="1"/>
  <c r="G56" i="8" s="1"/>
  <c r="D42" i="8"/>
  <c r="E42" i="8" s="1"/>
  <c r="G42" i="8" s="1"/>
  <c r="D62" i="8"/>
  <c r="E62" i="8" s="1"/>
  <c r="G62" i="8" s="1"/>
  <c r="D24" i="8"/>
  <c r="E24" i="8" s="1"/>
  <c r="G24" i="8" s="1"/>
  <c r="D49" i="8"/>
  <c r="E49" i="8" s="1"/>
  <c r="G49" i="8" s="1"/>
  <c r="D46" i="8"/>
  <c r="E46" i="8" s="1"/>
  <c r="G46" i="8" s="1"/>
  <c r="D25" i="8"/>
  <c r="E25" i="8" s="1"/>
  <c r="D65" i="8"/>
  <c r="E65" i="8" s="1"/>
  <c r="G65" i="8" s="1"/>
  <c r="D60" i="8"/>
  <c r="E60" i="8" s="1"/>
  <c r="G60" i="8" s="1"/>
  <c r="D55" i="8"/>
  <c r="E55" i="8" s="1"/>
  <c r="G55" i="8" s="1"/>
  <c r="D35" i="8"/>
  <c r="E35" i="8" s="1"/>
  <c r="G35" i="8" s="1"/>
  <c r="AR3" i="5"/>
  <c r="E34" i="3"/>
  <c r="G34" i="3"/>
  <c r="D34" i="2"/>
  <c r="E34" i="2" s="1"/>
  <c r="G34" i="2" s="1"/>
  <c r="D33" i="4"/>
  <c r="H33" i="4" s="1"/>
  <c r="I33" i="4" s="1"/>
  <c r="G13" i="8"/>
  <c r="J56" i="8"/>
  <c r="F56" i="8"/>
  <c r="G13" i="3"/>
  <c r="J55" i="3"/>
  <c r="F55" i="3"/>
  <c r="J69" i="3"/>
  <c r="F69" i="3"/>
  <c r="J34" i="3"/>
  <c r="F34" i="3"/>
  <c r="J40" i="3"/>
  <c r="F40" i="3"/>
  <c r="J50" i="3"/>
  <c r="F50" i="3"/>
  <c r="J65" i="3"/>
  <c r="F65" i="3"/>
  <c r="J47" i="3"/>
  <c r="F47" i="3"/>
  <c r="J25" i="3"/>
  <c r="F25" i="3"/>
  <c r="J37" i="3"/>
  <c r="F37" i="3"/>
  <c r="J56" i="3"/>
  <c r="F56" i="3"/>
  <c r="J72" i="3"/>
  <c r="F72" i="3"/>
  <c r="J34" i="8"/>
  <c r="F34" i="8"/>
  <c r="J36" i="8"/>
  <c r="F36" i="8"/>
  <c r="J65" i="8"/>
  <c r="F65" i="8"/>
  <c r="J29" i="8"/>
  <c r="F29" i="8"/>
  <c r="J66" i="3"/>
  <c r="F66" i="3"/>
  <c r="J70" i="8"/>
  <c r="F70" i="8"/>
  <c r="J35" i="3"/>
  <c r="F35" i="3"/>
  <c r="J36" i="3"/>
  <c r="F36" i="3"/>
  <c r="J23" i="8"/>
  <c r="F77" i="8"/>
  <c r="J59" i="8"/>
  <c r="F59" i="8"/>
  <c r="J37" i="8"/>
  <c r="F37" i="8"/>
  <c r="J28" i="3"/>
  <c r="F28" i="3"/>
  <c r="J57" i="8"/>
  <c r="F57" i="8"/>
  <c r="J38" i="8"/>
  <c r="F38" i="8"/>
  <c r="J51" i="8"/>
  <c r="F51" i="8"/>
  <c r="J67" i="8"/>
  <c r="F67" i="8"/>
  <c r="J28" i="8"/>
  <c r="F28" i="8"/>
  <c r="I29" i="3"/>
  <c r="I36" i="3"/>
  <c r="I23" i="3"/>
  <c r="I40" i="3"/>
  <c r="I33" i="3"/>
  <c r="I57" i="3"/>
  <c r="I51" i="3"/>
  <c r="I72" i="3"/>
  <c r="I64" i="3"/>
  <c r="I47" i="3"/>
  <c r="I62" i="3"/>
  <c r="I35" i="3"/>
  <c r="I71" i="3"/>
  <c r="J38" i="3"/>
  <c r="F38" i="3"/>
  <c r="J54" i="3"/>
  <c r="F54" i="3"/>
  <c r="J61" i="3"/>
  <c r="F61" i="3"/>
  <c r="J63" i="3"/>
  <c r="F63" i="3"/>
  <c r="I54" i="3"/>
  <c r="I41" i="3"/>
  <c r="I38" i="3"/>
  <c r="I32" i="3"/>
  <c r="I55" i="3"/>
  <c r="I50" i="3"/>
  <c r="I43" i="3"/>
  <c r="I48" i="3"/>
  <c r="I63" i="3"/>
  <c r="I49" i="3"/>
  <c r="I24" i="3"/>
  <c r="I70" i="3"/>
  <c r="I45" i="3"/>
  <c r="D13" i="4"/>
  <c r="J49" i="3"/>
  <c r="F49" i="3"/>
  <c r="J23" i="3"/>
  <c r="F77" i="3"/>
  <c r="G77" i="3"/>
  <c r="J73" i="3"/>
  <c r="F73" i="3"/>
  <c r="J67" i="3"/>
  <c r="F67" i="3"/>
  <c r="J68" i="3"/>
  <c r="I66" i="3"/>
  <c r="I52" i="3"/>
  <c r="I53" i="3"/>
  <c r="I56" i="3"/>
  <c r="I44" i="3"/>
  <c r="I59" i="3"/>
  <c r="I27" i="3"/>
  <c r="I61" i="3"/>
  <c r="I25" i="3"/>
  <c r="I46" i="3"/>
  <c r="I31" i="3"/>
  <c r="I67" i="3"/>
  <c r="I42" i="3"/>
  <c r="I28" i="3"/>
  <c r="I34" i="3"/>
  <c r="I39" i="3"/>
  <c r="I68" i="3"/>
  <c r="I58" i="3"/>
  <c r="I73" i="3"/>
  <c r="I60" i="3"/>
  <c r="I30" i="3"/>
  <c r="I65" i="3"/>
  <c r="I37" i="3"/>
  <c r="I69" i="3"/>
  <c r="I26" i="3"/>
  <c r="J62" i="3"/>
  <c r="F62" i="3"/>
  <c r="J51" i="3"/>
  <c r="F51" i="3"/>
  <c r="J71" i="3"/>
  <c r="F71" i="3"/>
  <c r="J27" i="3"/>
  <c r="F27" i="3"/>
  <c r="J39" i="3"/>
  <c r="F39" i="3"/>
  <c r="J43" i="3"/>
  <c r="F43" i="3"/>
  <c r="J52" i="3"/>
  <c r="F52" i="3"/>
  <c r="J45" i="3"/>
  <c r="F45" i="3"/>
  <c r="J53" i="3"/>
  <c r="F53" i="3"/>
  <c r="J46" i="3"/>
  <c r="F46" i="3"/>
  <c r="J58" i="3"/>
  <c r="F58" i="3"/>
  <c r="J41" i="3"/>
  <c r="F41" i="3"/>
  <c r="J27" i="8"/>
  <c r="F27" i="8"/>
  <c r="J44" i="3"/>
  <c r="F44" i="3"/>
  <c r="J58" i="8"/>
  <c r="F58" i="8"/>
  <c r="J66" i="8"/>
  <c r="F66" i="8"/>
  <c r="J41" i="8"/>
  <c r="F41" i="8"/>
  <c r="J59" i="3"/>
  <c r="F59" i="3"/>
  <c r="J60" i="3"/>
  <c r="F60" i="3"/>
  <c r="J71" i="8"/>
  <c r="F71" i="8"/>
  <c r="J29" i="3"/>
  <c r="F29" i="3"/>
  <c r="J42" i="3"/>
  <c r="F42" i="3"/>
  <c r="J31" i="3"/>
  <c r="F31" i="3"/>
  <c r="J40" i="8"/>
  <c r="F40" i="8"/>
  <c r="J62" i="8"/>
  <c r="F62" i="8"/>
  <c r="I66" i="8"/>
  <c r="I39" i="8"/>
  <c r="I56" i="8"/>
  <c r="I33" i="8"/>
  <c r="I50" i="8"/>
  <c r="I27" i="8"/>
  <c r="I49" i="8"/>
  <c r="I42" i="8"/>
  <c r="I43" i="8"/>
  <c r="I44" i="8"/>
  <c r="I53" i="8"/>
  <c r="I58" i="8"/>
  <c r="J68" i="8"/>
  <c r="I34" i="8"/>
  <c r="I35" i="8"/>
  <c r="I52" i="8"/>
  <c r="I61" i="8"/>
  <c r="I70" i="8"/>
  <c r="I55" i="8"/>
  <c r="I72" i="8"/>
  <c r="I26" i="8"/>
  <c r="I71" i="8"/>
  <c r="I24" i="8"/>
  <c r="I65" i="8"/>
  <c r="I23" i="8"/>
  <c r="I59" i="8"/>
  <c r="J26" i="8"/>
  <c r="F26" i="8"/>
  <c r="I47" i="8"/>
  <c r="I48" i="8"/>
  <c r="I57" i="8"/>
  <c r="I54" i="8"/>
  <c r="I51" i="8"/>
  <c r="I68" i="8"/>
  <c r="I46" i="8"/>
  <c r="I67" i="8"/>
  <c r="I25" i="8"/>
  <c r="I29" i="8"/>
  <c r="I62" i="8"/>
  <c r="I36" i="8"/>
  <c r="I40" i="8"/>
  <c r="I60" i="8"/>
  <c r="I69" i="8"/>
  <c r="I30" i="8"/>
  <c r="I63" i="8"/>
  <c r="I64" i="8"/>
  <c r="I73" i="8"/>
  <c r="I28" i="8"/>
  <c r="I37" i="8"/>
  <c r="I38" i="8"/>
  <c r="I31" i="8"/>
  <c r="I32" i="8"/>
  <c r="I41" i="8"/>
  <c r="I45" i="8"/>
  <c r="J47" i="8"/>
  <c r="F47" i="8"/>
  <c r="J61" i="8"/>
  <c r="F61" i="8"/>
  <c r="J72" i="8"/>
  <c r="F72" i="8"/>
  <c r="J43" i="8"/>
  <c r="F43" i="8"/>
  <c r="J49" i="8"/>
  <c r="F49" i="8"/>
  <c r="J55" i="8"/>
  <c r="F55" i="8"/>
  <c r="J69" i="8"/>
  <c r="F69" i="8"/>
  <c r="J52" i="8"/>
  <c r="F52" i="8"/>
  <c r="J25" i="8"/>
  <c r="F25" i="8"/>
  <c r="J60" i="8"/>
  <c r="F60" i="8"/>
  <c r="J31" i="8"/>
  <c r="F31" i="8"/>
  <c r="J64" i="8"/>
  <c r="F64" i="8"/>
  <c r="J48" i="8"/>
  <c r="F48" i="8"/>
  <c r="J42" i="8"/>
  <c r="F42" i="8"/>
  <c r="J54" i="8"/>
  <c r="F54" i="8"/>
  <c r="J30" i="8"/>
  <c r="F30" i="8"/>
  <c r="J24" i="8"/>
  <c r="G13" i="2"/>
  <c r="J26" i="3"/>
  <c r="F26" i="3"/>
  <c r="J63" i="8"/>
  <c r="F63" i="8"/>
  <c r="J48" i="3"/>
  <c r="F48" i="3"/>
  <c r="J24" i="3"/>
  <c r="J33" i="3"/>
  <c r="F33" i="3"/>
  <c r="J30" i="3"/>
  <c r="F30" i="3"/>
  <c r="J57" i="3"/>
  <c r="F57" i="3"/>
  <c r="J33" i="8"/>
  <c r="F33" i="8"/>
  <c r="J53" i="8"/>
  <c r="F53" i="8"/>
  <c r="J50" i="8"/>
  <c r="F50" i="8"/>
  <c r="J39" i="8"/>
  <c r="F39" i="8"/>
  <c r="J45" i="8"/>
  <c r="F45" i="8"/>
  <c r="J35" i="8"/>
  <c r="F35" i="8"/>
  <c r="J73" i="8"/>
  <c r="F73" i="8"/>
  <c r="J46" i="8"/>
  <c r="F46" i="8"/>
  <c r="J64" i="3"/>
  <c r="F64" i="3"/>
  <c r="J32" i="3"/>
  <c r="F32" i="3"/>
  <c r="J44" i="8"/>
  <c r="F44" i="8"/>
  <c r="J70" i="3"/>
  <c r="F70" i="3"/>
  <c r="J32" i="8"/>
  <c r="F32" i="8"/>
  <c r="I48" i="2"/>
  <c r="I56" i="2"/>
  <c r="I61" i="2"/>
  <c r="I60" i="2"/>
  <c r="I30" i="2"/>
  <c r="I43" i="2"/>
  <c r="I25" i="2"/>
  <c r="I45" i="2"/>
  <c r="I64" i="2"/>
  <c r="I71" i="2"/>
  <c r="I57" i="2"/>
  <c r="I38" i="2"/>
  <c r="I72" i="2"/>
  <c r="J47" i="2"/>
  <c r="F47" i="2"/>
  <c r="J42" i="2"/>
  <c r="F42" i="2"/>
  <c r="J29" i="2"/>
  <c r="F29" i="2"/>
  <c r="I69" i="2"/>
  <c r="I73" i="2"/>
  <c r="I52" i="2"/>
  <c r="I24" i="2"/>
  <c r="I67" i="2"/>
  <c r="I49" i="2"/>
  <c r="I36" i="2"/>
  <c r="I62" i="2"/>
  <c r="I33" i="2"/>
  <c r="I50" i="2"/>
  <c r="I63" i="2"/>
  <c r="I65" i="2"/>
  <c r="I59" i="2"/>
  <c r="J53" i="2"/>
  <c r="F53" i="2"/>
  <c r="I47" i="2"/>
  <c r="I70" i="2"/>
  <c r="I39" i="2"/>
  <c r="I55" i="2"/>
  <c r="I58" i="2"/>
  <c r="I46" i="2"/>
  <c r="I51" i="2"/>
  <c r="I53" i="2"/>
  <c r="I42" i="2"/>
  <c r="I54" i="2"/>
  <c r="I44" i="2"/>
  <c r="I26" i="2"/>
  <c r="I66" i="2"/>
  <c r="I68" i="2"/>
  <c r="I41" i="2"/>
  <c r="I37" i="2"/>
  <c r="I35" i="2"/>
  <c r="I32" i="2"/>
  <c r="I29" i="2"/>
  <c r="I23" i="2"/>
  <c r="I28" i="2"/>
  <c r="I40" i="2"/>
  <c r="I27" i="2"/>
  <c r="I31" i="2"/>
  <c r="I34" i="2"/>
  <c r="J51" i="2"/>
  <c r="F51" i="2"/>
  <c r="J28" i="2"/>
  <c r="F28" i="2"/>
  <c r="J37" i="2"/>
  <c r="F37" i="2"/>
  <c r="J24" i="2"/>
  <c r="J55" i="2"/>
  <c r="F55" i="2"/>
  <c r="J57" i="2"/>
  <c r="F57" i="2"/>
  <c r="J31" i="2"/>
  <c r="F31" i="2"/>
  <c r="J52" i="2"/>
  <c r="F52" i="2"/>
  <c r="J54" i="2"/>
  <c r="F54" i="2"/>
  <c r="J73" i="2"/>
  <c r="F73" i="2"/>
  <c r="J35" i="2"/>
  <c r="F35" i="2"/>
  <c r="J40" i="2"/>
  <c r="F40" i="2"/>
  <c r="J64" i="2"/>
  <c r="F64" i="2"/>
  <c r="J60" i="2"/>
  <c r="F60" i="2"/>
  <c r="J45" i="2"/>
  <c r="F45" i="2"/>
  <c r="J68" i="2"/>
  <c r="F68" i="2"/>
  <c r="J71" i="2"/>
  <c r="F71" i="2"/>
  <c r="J46" i="2"/>
  <c r="F46" i="2"/>
  <c r="J61" i="2"/>
  <c r="F61" i="2"/>
  <c r="J65" i="2"/>
  <c r="F65" i="2"/>
  <c r="J48" i="2"/>
  <c r="F48" i="2"/>
  <c r="J63" i="2"/>
  <c r="F63" i="2"/>
  <c r="J49" i="2"/>
  <c r="F49" i="2"/>
  <c r="J27" i="2"/>
  <c r="F27" i="2"/>
  <c r="J33" i="2"/>
  <c r="F33" i="2"/>
  <c r="J39" i="2"/>
  <c r="F39" i="2"/>
  <c r="J58" i="2"/>
  <c r="F58" i="2"/>
  <c r="J59" i="2"/>
  <c r="F59" i="2"/>
  <c r="J41" i="2"/>
  <c r="F41" i="2"/>
  <c r="J23" i="2"/>
  <c r="F77" i="2"/>
  <c r="G77" i="2"/>
  <c r="J50" i="2"/>
  <c r="F50" i="2"/>
  <c r="J32" i="2"/>
  <c r="F32" i="2"/>
  <c r="J66" i="2"/>
  <c r="J43" i="2"/>
  <c r="F43" i="2"/>
  <c r="J30" i="2"/>
  <c r="F30" i="2"/>
  <c r="J25" i="2"/>
  <c r="F25" i="2"/>
  <c r="J72" i="2"/>
  <c r="F72" i="2"/>
  <c r="J69" i="2"/>
  <c r="F69" i="2"/>
  <c r="J38" i="2"/>
  <c r="F38" i="2"/>
  <c r="J62" i="2"/>
  <c r="F62" i="2"/>
  <c r="J67" i="2"/>
  <c r="F67" i="2"/>
  <c r="J34" i="2"/>
  <c r="F34" i="2"/>
  <c r="J36" i="2"/>
  <c r="F36" i="2"/>
  <c r="J56" i="2"/>
  <c r="F56" i="2"/>
  <c r="J44" i="2"/>
  <c r="F44" i="2"/>
  <c r="J70" i="2"/>
  <c r="F70" i="2"/>
  <c r="J26" i="2"/>
  <c r="F26" i="2"/>
  <c r="I22" i="4"/>
  <c r="F78" i="8"/>
  <c r="G78" i="8"/>
  <c r="F24" i="8"/>
  <c r="F78" i="3"/>
  <c r="G78" i="3"/>
  <c r="F24" i="3"/>
  <c r="F68" i="8"/>
  <c r="F79" i="8"/>
  <c r="G79" i="8"/>
  <c r="F79" i="3"/>
  <c r="G79" i="3"/>
  <c r="F68" i="3"/>
  <c r="G81" i="3"/>
  <c r="F79" i="2"/>
  <c r="G79" i="2"/>
  <c r="G81" i="2"/>
  <c r="F66" i="2"/>
  <c r="F78" i="2"/>
  <c r="G78" i="2"/>
  <c r="F24" i="2"/>
  <c r="M24" i="5"/>
  <c r="M42" i="5"/>
  <c r="AF42" i="5" s="1"/>
  <c r="AF13" i="5"/>
  <c r="AF24" i="5"/>
  <c r="K24" i="5"/>
  <c r="D44" i="3"/>
  <c r="D44" i="4" s="1"/>
  <c r="H44" i="4" s="1"/>
  <c r="I44" i="4" s="1"/>
  <c r="M25" i="5"/>
  <c r="M47" i="5"/>
  <c r="M15" i="5"/>
  <c r="M39" i="5"/>
  <c r="M19" i="5"/>
  <c r="M43" i="5"/>
  <c r="M8" i="5"/>
  <c r="M20" i="5"/>
  <c r="M30" i="5"/>
  <c r="M40" i="5"/>
  <c r="M28" i="5"/>
  <c r="M3" i="5"/>
  <c r="M44" i="5"/>
  <c r="M35" i="5"/>
  <c r="M27" i="5"/>
  <c r="M49" i="5"/>
  <c r="M16" i="5"/>
  <c r="M41" i="5"/>
  <c r="M32" i="5"/>
  <c r="M36" i="5"/>
  <c r="M6" i="5"/>
  <c r="M26" i="5"/>
  <c r="M37" i="5"/>
  <c r="M34" i="5"/>
  <c r="M50" i="5"/>
  <c r="M9" i="5"/>
  <c r="M38" i="5"/>
  <c r="M29" i="5"/>
  <c r="M51" i="5"/>
  <c r="M31" i="5"/>
  <c r="M46" i="5"/>
  <c r="M4" i="5"/>
  <c r="M14" i="5"/>
  <c r="M21" i="5"/>
  <c r="M7" i="5"/>
  <c r="M45" i="5"/>
  <c r="M5" i="5"/>
  <c r="M33" i="5"/>
  <c r="M18" i="5"/>
  <c r="M12" i="5"/>
  <c r="M10" i="5"/>
  <c r="M52" i="5"/>
  <c r="M22" i="5"/>
  <c r="M17" i="5"/>
  <c r="M23" i="5"/>
  <c r="M48" i="5"/>
  <c r="M11" i="5"/>
  <c r="D71" i="3"/>
  <c r="D71" i="4" s="1"/>
  <c r="H71" i="4" s="1"/>
  <c r="I71" i="4" s="1"/>
  <c r="D64" i="3"/>
  <c r="E65" i="3" s="1"/>
  <c r="G65" i="3" s="1"/>
  <c r="D65" i="3"/>
  <c r="E66" i="3" s="1"/>
  <c r="G66" i="3" s="1"/>
  <c r="D68" i="3"/>
  <c r="D68" i="4" s="1"/>
  <c r="H68" i="4" s="1"/>
  <c r="I68" i="4" s="1"/>
  <c r="D67" i="3"/>
  <c r="D72" i="3"/>
  <c r="D66" i="3"/>
  <c r="D66" i="4" s="1"/>
  <c r="H66" i="4" s="1"/>
  <c r="I66" i="4" s="1"/>
  <c r="D69" i="3"/>
  <c r="E70" i="3" s="1"/>
  <c r="G70" i="3" s="1"/>
  <c r="D70" i="3"/>
  <c r="G12" i="2"/>
  <c r="A83" i="2" s="1"/>
  <c r="F83" i="2" s="1"/>
  <c r="G83" i="2" s="1"/>
  <c r="A83" i="3"/>
  <c r="F83" i="3" s="1"/>
  <c r="G83" i="3" s="1"/>
  <c r="K48" i="5"/>
  <c r="AF48" i="5"/>
  <c r="AF21" i="5"/>
  <c r="K21" i="5"/>
  <c r="D41" i="3" s="1"/>
  <c r="D41" i="4" s="1"/>
  <c r="H41" i="4" s="1"/>
  <c r="I41" i="4" s="1"/>
  <c r="AF9" i="5"/>
  <c r="AP9" i="5"/>
  <c r="X9" i="5" s="1"/>
  <c r="Z9" i="5" s="1"/>
  <c r="K9" i="5"/>
  <c r="D29" i="3"/>
  <c r="E30" i="3" s="1"/>
  <c r="G30" i="3" s="1"/>
  <c r="AF35" i="5"/>
  <c r="K35" i="5"/>
  <c r="D55" i="3" s="1"/>
  <c r="AF23" i="5"/>
  <c r="AP23" i="5" s="1"/>
  <c r="X23" i="5" s="1"/>
  <c r="Z23" i="5" s="1"/>
  <c r="K23" i="5"/>
  <c r="D43" i="3"/>
  <c r="D44" i="2" s="1"/>
  <c r="E44" i="2" s="1"/>
  <c r="G44" i="2" s="1"/>
  <c r="AF14" i="5"/>
  <c r="K14" i="5"/>
  <c r="D34" i="3" s="1"/>
  <c r="E35" i="3" s="1"/>
  <c r="G35" i="3" s="1"/>
  <c r="K50" i="5"/>
  <c r="AF50" i="5"/>
  <c r="AF44" i="5"/>
  <c r="K44" i="5"/>
  <c r="K25" i="5"/>
  <c r="D45" i="3"/>
  <c r="E46" i="3" s="1"/>
  <c r="G46" i="3" s="1"/>
  <c r="AF25" i="5"/>
  <c r="AF52" i="5"/>
  <c r="AF31" i="5"/>
  <c r="K31" i="5"/>
  <c r="D51" i="3" s="1"/>
  <c r="AF41" i="5"/>
  <c r="AP41" i="5" s="1"/>
  <c r="X41" i="5" s="1"/>
  <c r="Z41" i="5" s="1"/>
  <c r="K41" i="5"/>
  <c r="D61" i="3" s="1"/>
  <c r="AF40" i="5"/>
  <c r="K47" i="5"/>
  <c r="AF47" i="5"/>
  <c r="AP47" i="5"/>
  <c r="X47" i="5" s="1"/>
  <c r="Z47" i="5" s="1"/>
  <c r="K6" i="5"/>
  <c r="D26" i="3" s="1"/>
  <c r="AF6" i="5"/>
  <c r="AP6" i="5" s="1"/>
  <c r="X6" i="5" s="1"/>
  <c r="Z6" i="5" s="1"/>
  <c r="AF17" i="5"/>
  <c r="AP17" i="5" s="1"/>
  <c r="X17" i="5" s="1"/>
  <c r="Z17" i="5" s="1"/>
  <c r="K17" i="5"/>
  <c r="D37" i="3" s="1"/>
  <c r="D38" i="2" s="1"/>
  <c r="E38" i="2" s="1"/>
  <c r="G38" i="2" s="1"/>
  <c r="AF12" i="5"/>
  <c r="K12" i="5"/>
  <c r="D32" i="3" s="1"/>
  <c r="K45" i="5"/>
  <c r="AF45" i="5"/>
  <c r="AP45" i="5"/>
  <c r="X45" i="5" s="1"/>
  <c r="Z45" i="5" s="1"/>
  <c r="AF4" i="5"/>
  <c r="K4" i="5"/>
  <c r="D24" i="3" s="1"/>
  <c r="AF29" i="5"/>
  <c r="AP29" i="5" s="1"/>
  <c r="X29" i="5" s="1"/>
  <c r="Z29" i="5" s="1"/>
  <c r="K29" i="5"/>
  <c r="D49" i="3" s="1"/>
  <c r="K34" i="5"/>
  <c r="D54" i="3" s="1"/>
  <c r="AF34" i="5"/>
  <c r="AP34" i="5"/>
  <c r="X34" i="5" s="1"/>
  <c r="Z34" i="5" s="1"/>
  <c r="K36" i="5"/>
  <c r="D56" i="3" s="1"/>
  <c r="AF36" i="5"/>
  <c r="AP36" i="5"/>
  <c r="X36" i="5" s="1"/>
  <c r="Z36" i="5" s="1"/>
  <c r="AF49" i="5"/>
  <c r="AP49" i="5"/>
  <c r="X49" i="5" s="1"/>
  <c r="Z49" i="5" s="1"/>
  <c r="K49" i="5"/>
  <c r="M1" i="5"/>
  <c r="H23" i="5"/>
  <c r="AF3" i="5"/>
  <c r="K20" i="5"/>
  <c r="D40" i="3" s="1"/>
  <c r="AF20" i="5"/>
  <c r="AF39" i="5"/>
  <c r="AP39" i="5" s="1"/>
  <c r="X39" i="5" s="1"/>
  <c r="Z39" i="5" s="1"/>
  <c r="K39" i="5"/>
  <c r="D59" i="3"/>
  <c r="D60" i="2" s="1"/>
  <c r="E60" i="2" s="1"/>
  <c r="G60" i="2" s="1"/>
  <c r="AF33" i="5"/>
  <c r="K33" i="5"/>
  <c r="D53" i="3"/>
  <c r="E54" i="3" s="1"/>
  <c r="G54" i="3" s="1"/>
  <c r="AF26" i="5"/>
  <c r="AP26" i="5"/>
  <c r="X26" i="5" s="1"/>
  <c r="Z26" i="5" s="1"/>
  <c r="K26" i="5"/>
  <c r="D46" i="3"/>
  <c r="E47" i="3" s="1"/>
  <c r="G47" i="3" s="1"/>
  <c r="AF43" i="5"/>
  <c r="AP43" i="5"/>
  <c r="X43" i="5" s="1"/>
  <c r="Z43" i="5" s="1"/>
  <c r="K43" i="5"/>
  <c r="D63" i="3" s="1"/>
  <c r="D63" i="4" s="1"/>
  <c r="H63" i="4" s="1"/>
  <c r="I63" i="4" s="1"/>
  <c r="K10" i="5"/>
  <c r="D30" i="3" s="1"/>
  <c r="D31" i="2" s="1"/>
  <c r="E31" i="2" s="1"/>
  <c r="G31" i="2" s="1"/>
  <c r="AF10" i="5"/>
  <c r="AF5" i="5"/>
  <c r="AP5" i="5" s="1"/>
  <c r="X5" i="5" s="1"/>
  <c r="Z5" i="5" s="1"/>
  <c r="K5" i="5"/>
  <c r="D25" i="3" s="1"/>
  <c r="K51" i="5"/>
  <c r="AF51" i="5"/>
  <c r="AF16" i="5"/>
  <c r="K30" i="5"/>
  <c r="D50" i="3" s="1"/>
  <c r="AF30" i="5"/>
  <c r="K19" i="5"/>
  <c r="D39" i="3" s="1"/>
  <c r="AF19" i="5"/>
  <c r="AP19" i="5" s="1"/>
  <c r="X19" i="5" s="1"/>
  <c r="Z19" i="5" s="1"/>
  <c r="AF11" i="5"/>
  <c r="K11" i="5"/>
  <c r="D31" i="3" s="1"/>
  <c r="D32" i="2" s="1"/>
  <c r="E32" i="2" s="1"/>
  <c r="G32" i="2" s="1"/>
  <c r="AF22" i="5"/>
  <c r="AP22" i="5" s="1"/>
  <c r="X22" i="5" s="1"/>
  <c r="Z22" i="5" s="1"/>
  <c r="K22" i="5"/>
  <c r="D42" i="3"/>
  <c r="D42" i="4" s="1"/>
  <c r="H42" i="4" s="1"/>
  <c r="I42" i="4" s="1"/>
  <c r="AF18" i="5"/>
  <c r="K18" i="5"/>
  <c r="D38" i="3"/>
  <c r="AF7" i="5"/>
  <c r="K7" i="5"/>
  <c r="D27" i="3" s="1"/>
  <c r="D28" i="2" s="1"/>
  <c r="E28" i="2" s="1"/>
  <c r="G28" i="2" s="1"/>
  <c r="K46" i="5"/>
  <c r="AF46" i="5"/>
  <c r="AP46" i="5" s="1"/>
  <c r="X46" i="5" s="1"/>
  <c r="Z46" i="5" s="1"/>
  <c r="K38" i="5"/>
  <c r="D58" i="3" s="1"/>
  <c r="E59" i="3" s="1"/>
  <c r="G59" i="3" s="1"/>
  <c r="AF38" i="5"/>
  <c r="AF37" i="5"/>
  <c r="AP37" i="5"/>
  <c r="X37" i="5" s="1"/>
  <c r="Z37" i="5" s="1"/>
  <c r="K37" i="5"/>
  <c r="D57" i="3" s="1"/>
  <c r="K32" i="5"/>
  <c r="D52" i="3" s="1"/>
  <c r="E53" i="3" s="1"/>
  <c r="G53" i="3" s="1"/>
  <c r="AF32" i="5"/>
  <c r="K27" i="5"/>
  <c r="D47" i="3"/>
  <c r="D47" i="4" s="1"/>
  <c r="H47" i="4" s="1"/>
  <c r="I47" i="4" s="1"/>
  <c r="AF27" i="5"/>
  <c r="AP27" i="5" s="1"/>
  <c r="X27" i="5" s="1"/>
  <c r="Z27" i="5" s="1"/>
  <c r="K28" i="5"/>
  <c r="D48" i="3" s="1"/>
  <c r="D48" i="4" s="1"/>
  <c r="H48" i="4" s="1"/>
  <c r="I48" i="4" s="1"/>
  <c r="AF28" i="5"/>
  <c r="K8" i="5"/>
  <c r="D28" i="3" s="1"/>
  <c r="AF8" i="5"/>
  <c r="AF15" i="5"/>
  <c r="AP15" i="5" s="1"/>
  <c r="X15" i="5" s="1"/>
  <c r="Z15" i="5" s="1"/>
  <c r="K15" i="5"/>
  <c r="D35" i="3" s="1"/>
  <c r="D65" i="2"/>
  <c r="E65" i="2" s="1"/>
  <c r="G65" i="2" s="1"/>
  <c r="E32" i="3"/>
  <c r="G32" i="3" s="1"/>
  <c r="E72" i="3"/>
  <c r="G72" i="3" s="1"/>
  <c r="D72" i="2"/>
  <c r="E72" i="2" s="1"/>
  <c r="G72" i="2" s="1"/>
  <c r="D66" i="2"/>
  <c r="E66" i="2" s="1"/>
  <c r="G66" i="2" s="1"/>
  <c r="D46" i="2"/>
  <c r="E46" i="2" s="1"/>
  <c r="G46" i="2" s="1"/>
  <c r="D45" i="4"/>
  <c r="H45" i="4" s="1"/>
  <c r="I45" i="4" s="1"/>
  <c r="D70" i="2"/>
  <c r="E70" i="2" s="1"/>
  <c r="G70" i="2" s="1"/>
  <c r="D69" i="4"/>
  <c r="H69" i="4" s="1"/>
  <c r="I69" i="4" s="1"/>
  <c r="E67" i="3"/>
  <c r="G67" i="3" s="1"/>
  <c r="D67" i="2"/>
  <c r="E67" i="2" s="1"/>
  <c r="G67" i="2" s="1"/>
  <c r="E69" i="3"/>
  <c r="G69" i="3" s="1"/>
  <c r="D69" i="2"/>
  <c r="E69" i="2" s="1"/>
  <c r="G69" i="2" s="1"/>
  <c r="D55" i="2"/>
  <c r="E55" i="2" s="1"/>
  <c r="G55" i="2" s="1"/>
  <c r="D67" i="4"/>
  <c r="H67" i="4" s="1"/>
  <c r="I67" i="4" s="1"/>
  <c r="E68" i="3"/>
  <c r="G68" i="3"/>
  <c r="D68" i="2"/>
  <c r="E68" i="2" s="1"/>
  <c r="G68" i="2" s="1"/>
  <c r="D25" i="2"/>
  <c r="E25" i="2" s="1"/>
  <c r="G25" i="2" s="1"/>
  <c r="E45" i="3"/>
  <c r="G45" i="3"/>
  <c r="D38" i="4"/>
  <c r="H38" i="4" s="1"/>
  <c r="I38" i="4" s="1"/>
  <c r="D39" i="2"/>
  <c r="E39" i="2" s="1"/>
  <c r="G39" i="2" s="1"/>
  <c r="E39" i="3"/>
  <c r="G39" i="3" s="1"/>
  <c r="D40" i="4"/>
  <c r="H40" i="4" s="1"/>
  <c r="I40" i="4" s="1"/>
  <c r="D41" i="2"/>
  <c r="E41" i="2" s="1"/>
  <c r="G41" i="2" s="1"/>
  <c r="E41" i="3"/>
  <c r="G41" i="3" s="1"/>
  <c r="E73" i="3"/>
  <c r="G73" i="3" s="1"/>
  <c r="D73" i="2"/>
  <c r="E73" i="2" s="1"/>
  <c r="G73" i="2" s="1"/>
  <c r="D72" i="4"/>
  <c r="H72" i="4" s="1"/>
  <c r="I72" i="4" s="1"/>
  <c r="D47" i="2"/>
  <c r="E47" i="2" s="1"/>
  <c r="G47" i="2" s="1"/>
  <c r="D46" i="4"/>
  <c r="H46" i="4" s="1"/>
  <c r="I46" i="4" s="1"/>
  <c r="D43" i="4"/>
  <c r="H43" i="4" s="1"/>
  <c r="I43" i="4" s="1"/>
  <c r="E44" i="3"/>
  <c r="G44" i="3" s="1"/>
  <c r="E71" i="3"/>
  <c r="G71" i="3" s="1"/>
  <c r="D70" i="4"/>
  <c r="H70" i="4" s="1"/>
  <c r="I70" i="4" s="1"/>
  <c r="D71" i="2"/>
  <c r="E71" i="2" s="1"/>
  <c r="G71" i="2" s="1"/>
  <c r="D64" i="2"/>
  <c r="E64" i="2" s="1"/>
  <c r="G64" i="2" s="1"/>
  <c r="D53" i="4"/>
  <c r="H53" i="4" s="1"/>
  <c r="I53" i="4" s="1"/>
  <c r="D48" i="2"/>
  <c r="E48" i="2" s="1"/>
  <c r="G48" i="2" s="1"/>
  <c r="E64" i="3"/>
  <c r="G64" i="3" s="1"/>
  <c r="E43" i="3"/>
  <c r="G43" i="3" s="1"/>
  <c r="D59" i="4" l="1"/>
  <c r="H59" i="4" s="1"/>
  <c r="I59" i="4" s="1"/>
  <c r="E48" i="3"/>
  <c r="G48" i="3" s="1"/>
  <c r="C11" i="8"/>
  <c r="E49" i="5"/>
  <c r="D54" i="2"/>
  <c r="E54" i="2" s="1"/>
  <c r="G54" i="2" s="1"/>
  <c r="D30" i="2"/>
  <c r="E30" i="2" s="1"/>
  <c r="G30" i="2" s="1"/>
  <c r="E42" i="3"/>
  <c r="G42" i="3" s="1"/>
  <c r="D65" i="4"/>
  <c r="H65" i="4" s="1"/>
  <c r="I65" i="4" s="1"/>
  <c r="E60" i="3"/>
  <c r="G60" i="3" s="1"/>
  <c r="D30" i="4"/>
  <c r="H30" i="4" s="1"/>
  <c r="I30" i="4" s="1"/>
  <c r="D29" i="4"/>
  <c r="H29" i="4" s="1"/>
  <c r="I29" i="4" s="1"/>
  <c r="G25" i="8"/>
  <c r="G75" i="8" s="1"/>
  <c r="E75" i="8"/>
  <c r="D75" i="8"/>
  <c r="D64" i="4"/>
  <c r="H64" i="4" s="1"/>
  <c r="I64" i="4" s="1"/>
  <c r="AP8" i="5"/>
  <c r="X8" i="5" s="1"/>
  <c r="Z8" i="5" s="1"/>
  <c r="AG52" i="5"/>
  <c r="AP52" i="5" s="1"/>
  <c r="X52" i="5" s="1"/>
  <c r="Z52" i="5" s="1"/>
  <c r="N1" i="5"/>
  <c r="H24" i="5" s="1"/>
  <c r="H34" i="5" s="1"/>
  <c r="K52" i="5"/>
  <c r="D45" i="2"/>
  <c r="E45" i="2" s="1"/>
  <c r="G45" i="2" s="1"/>
  <c r="K16" i="5"/>
  <c r="D36" i="3" s="1"/>
  <c r="E37" i="3" s="1"/>
  <c r="G37" i="3" s="1"/>
  <c r="AP40" i="5"/>
  <c r="X40" i="5" s="1"/>
  <c r="Z40" i="5" s="1"/>
  <c r="AP28" i="5"/>
  <c r="X28" i="5" s="1"/>
  <c r="Z28" i="5" s="1"/>
  <c r="K40" i="5"/>
  <c r="D60" i="3" s="1"/>
  <c r="E61" i="3" s="1"/>
  <c r="G61" i="3" s="1"/>
  <c r="D33" i="2"/>
  <c r="E33" i="2" s="1"/>
  <c r="G33" i="2" s="1"/>
  <c r="D32" i="4"/>
  <c r="H32" i="4" s="1"/>
  <c r="I32" i="4" s="1"/>
  <c r="E33" i="3"/>
  <c r="G33" i="3" s="1"/>
  <c r="D26" i="4"/>
  <c r="H26" i="4" s="1"/>
  <c r="I26" i="4" s="1"/>
  <c r="E27" i="3"/>
  <c r="G27" i="3" s="1"/>
  <c r="D27" i="2"/>
  <c r="E27" i="2" s="1"/>
  <c r="G27" i="2" s="1"/>
  <c r="D51" i="4"/>
  <c r="H51" i="4" s="1"/>
  <c r="I51" i="4" s="1"/>
  <c r="D52" i="2"/>
  <c r="E52" i="2" s="1"/>
  <c r="G52" i="2" s="1"/>
  <c r="E52" i="3"/>
  <c r="G52" i="3" s="1"/>
  <c r="E56" i="3"/>
  <c r="G56" i="3" s="1"/>
  <c r="D56" i="2"/>
  <c r="E56" i="2" s="1"/>
  <c r="G56" i="2" s="1"/>
  <c r="D55" i="4"/>
  <c r="H55" i="4" s="1"/>
  <c r="I55" i="4" s="1"/>
  <c r="E62" i="3"/>
  <c r="G62" i="3" s="1"/>
  <c r="D62" i="2"/>
  <c r="E62" i="2" s="1"/>
  <c r="G62" i="2" s="1"/>
  <c r="D61" i="4"/>
  <c r="H61" i="4" s="1"/>
  <c r="I61" i="4" s="1"/>
  <c r="E40" i="3"/>
  <c r="G40" i="3" s="1"/>
  <c r="D39" i="4"/>
  <c r="H39" i="4" s="1"/>
  <c r="I39" i="4" s="1"/>
  <c r="D40" i="2"/>
  <c r="E40" i="2" s="1"/>
  <c r="G40" i="2" s="1"/>
  <c r="E26" i="3"/>
  <c r="G26" i="3" s="1"/>
  <c r="D26" i="2"/>
  <c r="E26" i="2" s="1"/>
  <c r="G26" i="2" s="1"/>
  <c r="D25" i="4"/>
  <c r="H25" i="4" s="1"/>
  <c r="I25" i="4" s="1"/>
  <c r="D56" i="4"/>
  <c r="H56" i="4" s="1"/>
  <c r="I56" i="4" s="1"/>
  <c r="D57" i="2"/>
  <c r="E57" i="2" s="1"/>
  <c r="G57" i="2" s="1"/>
  <c r="E57" i="3"/>
  <c r="G57" i="3" s="1"/>
  <c r="D50" i="2"/>
  <c r="E50" i="2" s="1"/>
  <c r="G50" i="2" s="1"/>
  <c r="E50" i="3"/>
  <c r="G50" i="3" s="1"/>
  <c r="D49" i="4"/>
  <c r="H49" i="4" s="1"/>
  <c r="I49" i="4" s="1"/>
  <c r="E29" i="3"/>
  <c r="G29" i="3" s="1"/>
  <c r="D29" i="2"/>
  <c r="E29" i="2" s="1"/>
  <c r="G29" i="2" s="1"/>
  <c r="E51" i="3"/>
  <c r="G51" i="3" s="1"/>
  <c r="D51" i="2"/>
  <c r="E51" i="2" s="1"/>
  <c r="G51" i="2" s="1"/>
  <c r="D50" i="4"/>
  <c r="H50" i="4" s="1"/>
  <c r="I50" i="4" s="1"/>
  <c r="AP24" i="5"/>
  <c r="X24" i="5" s="1"/>
  <c r="Z24" i="5" s="1"/>
  <c r="AP21" i="5"/>
  <c r="X21" i="5" s="1"/>
  <c r="Z21" i="5" s="1"/>
  <c r="AP32" i="5"/>
  <c r="X32" i="5" s="1"/>
  <c r="Z32" i="5" s="1"/>
  <c r="AP12" i="5"/>
  <c r="X12" i="5" s="1"/>
  <c r="Z12" i="5" s="1"/>
  <c r="AP35" i="5"/>
  <c r="X35" i="5" s="1"/>
  <c r="Z35" i="5" s="1"/>
  <c r="D43" i="2"/>
  <c r="E43" i="2" s="1"/>
  <c r="G43" i="2" s="1"/>
  <c r="D52" i="4"/>
  <c r="H52" i="4" s="1"/>
  <c r="I52" i="4" s="1"/>
  <c r="AP31" i="5"/>
  <c r="X31" i="5" s="1"/>
  <c r="Z31" i="5" s="1"/>
  <c r="AP38" i="5"/>
  <c r="X38" i="5" s="1"/>
  <c r="Z38" i="5" s="1"/>
  <c r="AP50" i="5"/>
  <c r="X50" i="5" s="1"/>
  <c r="Z50" i="5" s="1"/>
  <c r="AP20" i="5"/>
  <c r="X20" i="5" s="1"/>
  <c r="Z20" i="5" s="1"/>
  <c r="AP44" i="5"/>
  <c r="X44" i="5" s="1"/>
  <c r="Z44" i="5" s="1"/>
  <c r="K42" i="5"/>
  <c r="D62" i="3" s="1"/>
  <c r="AP42" i="5"/>
  <c r="X42" i="5" s="1"/>
  <c r="Z42" i="5" s="1"/>
  <c r="AP18" i="5"/>
  <c r="X18" i="5" s="1"/>
  <c r="Z18" i="5" s="1"/>
  <c r="AP30" i="5"/>
  <c r="X30" i="5" s="1"/>
  <c r="Z30" i="5" s="1"/>
  <c r="AP33" i="5"/>
  <c r="X33" i="5" s="1"/>
  <c r="Z33" i="5" s="1"/>
  <c r="AP25" i="5"/>
  <c r="X25" i="5" s="1"/>
  <c r="Z25" i="5" s="1"/>
  <c r="AP13" i="5"/>
  <c r="X13" i="5" s="1"/>
  <c r="Z13" i="5" s="1"/>
  <c r="AP51" i="5"/>
  <c r="X51" i="5" s="1"/>
  <c r="Z51" i="5" s="1"/>
  <c r="AP10" i="5"/>
  <c r="X10" i="5" s="1"/>
  <c r="Z10" i="5" s="1"/>
  <c r="AP11" i="5"/>
  <c r="X11" i="5" s="1"/>
  <c r="Z11" i="5" s="1"/>
  <c r="AP14" i="5"/>
  <c r="X14" i="5" s="1"/>
  <c r="Z14" i="5" s="1"/>
  <c r="AP7" i="5"/>
  <c r="X7" i="5" s="1"/>
  <c r="Z7" i="5" s="1"/>
  <c r="E36" i="3"/>
  <c r="G36" i="3" s="1"/>
  <c r="D35" i="4"/>
  <c r="H35" i="4" s="1"/>
  <c r="I35" i="4" s="1"/>
  <c r="D36" i="2"/>
  <c r="E36" i="2" s="1"/>
  <c r="G36" i="2" s="1"/>
  <c r="E58" i="3"/>
  <c r="G58" i="3" s="1"/>
  <c r="D58" i="2"/>
  <c r="E58" i="2" s="1"/>
  <c r="G58" i="2" s="1"/>
  <c r="D57" i="4"/>
  <c r="H57" i="4" s="1"/>
  <c r="I57" i="4" s="1"/>
  <c r="E28" i="3"/>
  <c r="G28" i="3" s="1"/>
  <c r="D37" i="4"/>
  <c r="H37" i="4" s="1"/>
  <c r="I37" i="4" s="1"/>
  <c r="E49" i="3"/>
  <c r="G49" i="3" s="1"/>
  <c r="D49" i="2"/>
  <c r="E49" i="2" s="1"/>
  <c r="G49" i="2" s="1"/>
  <c r="D28" i="4"/>
  <c r="H28" i="4" s="1"/>
  <c r="I28" i="4" s="1"/>
  <c r="D35" i="2"/>
  <c r="E35" i="2" s="1"/>
  <c r="G35" i="2" s="1"/>
  <c r="D27" i="4"/>
  <c r="H27" i="4" s="1"/>
  <c r="I27" i="4" s="1"/>
  <c r="D36" i="4"/>
  <c r="H36" i="4" s="1"/>
  <c r="I36" i="4" s="1"/>
  <c r="D31" i="4"/>
  <c r="H31" i="4" s="1"/>
  <c r="I31" i="4" s="1"/>
  <c r="E55" i="3"/>
  <c r="G55" i="3" s="1"/>
  <c r="D54" i="4"/>
  <c r="H54" i="4" s="1"/>
  <c r="I54" i="4" s="1"/>
  <c r="D34" i="4"/>
  <c r="H34" i="4" s="1"/>
  <c r="I34" i="4" s="1"/>
  <c r="E38" i="3"/>
  <c r="G38" i="3" s="1"/>
  <c r="E31" i="3"/>
  <c r="G31" i="3" s="1"/>
  <c r="D42" i="2"/>
  <c r="E42" i="2" s="1"/>
  <c r="G42" i="2" s="1"/>
  <c r="D37" i="2"/>
  <c r="E37" i="2" s="1"/>
  <c r="G37" i="2" s="1"/>
  <c r="D53" i="2"/>
  <c r="E53" i="2" s="1"/>
  <c r="G53" i="2" s="1"/>
  <c r="D59" i="2"/>
  <c r="E59" i="2" s="1"/>
  <c r="G59" i="2" s="1"/>
  <c r="D58" i="4"/>
  <c r="H58" i="4" s="1"/>
  <c r="I58" i="4" s="1"/>
  <c r="E25" i="3"/>
  <c r="G25" i="3" s="1"/>
  <c r="D24" i="4"/>
  <c r="H24" i="4" s="1"/>
  <c r="I24" i="4" s="1"/>
  <c r="L1" i="5"/>
  <c r="K3" i="5"/>
  <c r="AE3" i="5"/>
  <c r="AP3" i="5" s="1"/>
  <c r="X3" i="5" s="1"/>
  <c r="Z3" i="5" s="1"/>
  <c r="K13" i="5"/>
  <c r="C14" i="8" l="1"/>
  <c r="D77" i="8"/>
  <c r="D60" i="4"/>
  <c r="H60" i="4" s="1"/>
  <c r="I60" i="4" s="1"/>
  <c r="D61" i="2"/>
  <c r="E61" i="2" s="1"/>
  <c r="G61" i="2" s="1"/>
  <c r="E63" i="3"/>
  <c r="G63" i="3" s="1"/>
  <c r="D63" i="2"/>
  <c r="E63" i="2" s="1"/>
  <c r="G63" i="2" s="1"/>
  <c r="D62" i="4"/>
  <c r="H62" i="4" s="1"/>
  <c r="I62" i="4" s="1"/>
  <c r="AC15" i="5"/>
  <c r="AC7" i="5"/>
  <c r="AC20" i="5"/>
  <c r="AC29" i="5"/>
  <c r="AC16" i="5"/>
  <c r="AC35" i="5"/>
  <c r="AC14" i="5"/>
  <c r="AC28" i="5"/>
  <c r="AC48" i="5"/>
  <c r="AC5" i="5"/>
  <c r="AC32" i="5"/>
  <c r="AC17" i="5"/>
  <c r="AC9" i="5"/>
  <c r="AC25" i="5"/>
  <c r="AC50" i="5"/>
  <c r="AC30" i="5"/>
  <c r="AC11" i="5"/>
  <c r="AC45" i="5"/>
  <c r="AC51" i="5"/>
  <c r="AC37" i="5"/>
  <c r="AC22" i="5"/>
  <c r="AC47" i="5"/>
  <c r="AC52" i="5"/>
  <c r="AC34" i="5"/>
  <c r="AC46" i="5"/>
  <c r="AC36" i="5"/>
  <c r="AC40" i="5"/>
  <c r="AC6" i="5"/>
  <c r="AC18" i="5"/>
  <c r="AC21" i="5"/>
  <c r="AC13" i="5"/>
  <c r="AC24" i="5"/>
  <c r="AC42" i="5"/>
  <c r="G41" i="6" s="1"/>
  <c r="AC4" i="5"/>
  <c r="AC19" i="5"/>
  <c r="AC3" i="5"/>
  <c r="AC44" i="5"/>
  <c r="AC8" i="5"/>
  <c r="AC12" i="5"/>
  <c r="AC33" i="5"/>
  <c r="AC27" i="5"/>
  <c r="AC43" i="5"/>
  <c r="AC23" i="5"/>
  <c r="AC31" i="5"/>
  <c r="AC10" i="5"/>
  <c r="AC38" i="5"/>
  <c r="AC39" i="5"/>
  <c r="AC49" i="5"/>
  <c r="AC41" i="5"/>
  <c r="AC26" i="5"/>
  <c r="K1" i="5"/>
  <c r="D23" i="3"/>
  <c r="D81" i="8" l="1"/>
  <c r="E77" i="8"/>
  <c r="G77" i="8" s="1"/>
  <c r="G81" i="8" s="1"/>
  <c r="G86" i="8" s="1"/>
  <c r="G43" i="6" s="1"/>
  <c r="D23" i="4"/>
  <c r="D24" i="2"/>
  <c r="E24" i="3"/>
  <c r="D75" i="3"/>
  <c r="G24" i="3" l="1"/>
  <c r="G75" i="3" s="1"/>
  <c r="G86" i="3" s="1"/>
  <c r="G45" i="6" s="1"/>
  <c r="E75" i="3"/>
  <c r="D75" i="2"/>
  <c r="E24" i="2"/>
  <c r="H23" i="4"/>
  <c r="D74" i="4"/>
  <c r="E75" i="2" l="1"/>
  <c r="G24" i="2"/>
  <c r="G75" i="2" s="1"/>
  <c r="G86" i="2" s="1"/>
  <c r="I77" i="4"/>
  <c r="H74" i="4"/>
  <c r="I23" i="4"/>
  <c r="I7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Mary Overboom</author>
  </authors>
  <commentList>
    <comment ref="I77" authorId="0" shapeId="0" xr:uid="{00000000-0006-0000-0700-000001000000}">
      <text>
        <r>
          <rPr>
            <sz val="10"/>
            <color rgb="FF000000"/>
            <rFont val="Arial"/>
            <family val="2"/>
          </rPr>
          <t xml:space="preserve">Omdat de NHW-formule van Excel begint bij jaar 1, moet de cashflow van jaar nul apart worden opgenomen in de formule in deze cel.
</t>
        </r>
        <r>
          <rPr>
            <sz val="10"/>
            <color rgb="FF000000"/>
            <rFont val="Arial"/>
            <family val="2"/>
          </rPr>
          <t>Let op dat de cashflow van jaar nul dus NIET moet worden meegenomen in de celrange die in de NHW-formule wordt gebruikt.</t>
        </r>
      </text>
    </comment>
  </commentList>
</comments>
</file>

<file path=xl/sharedStrings.xml><?xml version="1.0" encoding="utf-8"?>
<sst xmlns="http://schemas.openxmlformats.org/spreadsheetml/2006/main" count="430" uniqueCount="234">
  <si>
    <t>Voorwaarden:</t>
  </si>
  <si>
    <t>Aanschafwaarde:</t>
  </si>
  <si>
    <t>Jaar 0</t>
  </si>
  <si>
    <t>Jaar 1</t>
  </si>
  <si>
    <t>Jaar 2</t>
  </si>
  <si>
    <t>Berekening:</t>
  </si>
  <si>
    <t>Jaar</t>
  </si>
  <si>
    <t>(n)</t>
  </si>
  <si>
    <t>Resultaat</t>
  </si>
  <si>
    <t>Totaal</t>
  </si>
  <si>
    <t>Aanschafwaarde</t>
  </si>
  <si>
    <t>Liquidatie-opbrengsten</t>
  </si>
  <si>
    <t>Inkomsten</t>
  </si>
  <si>
    <t>Uitgaven</t>
  </si>
  <si>
    <t>Opgesteld op:</t>
  </si>
  <si>
    <t>factor</t>
  </si>
  <si>
    <t>door:</t>
  </si>
  <si>
    <t xml:space="preserve">De inkomsten en </t>
  </si>
  <si>
    <t>uitgaven in de</t>
  </si>
  <si>
    <t>betreffende jaren zijn</t>
  </si>
  <si>
    <t>geplande resp. geschatte</t>
  </si>
  <si>
    <t>waarden.</t>
  </si>
  <si>
    <t>Investeringsanalyse</t>
  </si>
  <si>
    <t>Saldo</t>
  </si>
  <si>
    <t>cashflows</t>
  </si>
  <si>
    <t>disconterings-</t>
  </si>
  <si>
    <t>Contante</t>
  </si>
  <si>
    <t>waarde</t>
  </si>
  <si>
    <t>Kapitalisatie</t>
  </si>
  <si>
    <t>disconterings</t>
  </si>
  <si>
    <t>A</t>
  </si>
  <si>
    <t>B</t>
  </si>
  <si>
    <t>D</t>
  </si>
  <si>
    <r>
      <t xml:space="preserve">(1+i) </t>
    </r>
    <r>
      <rPr>
        <vertAlign val="superscript"/>
        <sz val="10"/>
        <rFont val="Arial"/>
        <family val="2"/>
      </rPr>
      <t>n</t>
    </r>
  </si>
  <si>
    <r>
      <t xml:space="preserve">1 / (1+i) </t>
    </r>
    <r>
      <rPr>
        <vertAlign val="superscript"/>
        <sz val="10"/>
        <rFont val="Arial"/>
        <family val="2"/>
      </rPr>
      <t>n</t>
    </r>
  </si>
  <si>
    <t>C</t>
  </si>
  <si>
    <t>E = C - D</t>
  </si>
  <si>
    <t>F</t>
  </si>
  <si>
    <t>G = E x F</t>
  </si>
  <si>
    <t>totaal</t>
  </si>
  <si>
    <t>Netto Contante Waarde</t>
  </si>
  <si>
    <t>Opmerking: het jaartal van de liquidatie-opbrengst staat standaard gelijk aan de gebruiksduur ingesteld, maar kan aangepast worden</t>
  </si>
  <si>
    <t>Berekening Netto Contante Waarde (NCW)</t>
  </si>
  <si>
    <t>Omschrijving investeringsobject:</t>
  </si>
  <si>
    <r>
      <t xml:space="preserve">     Liquidatie-opbrengsten </t>
    </r>
    <r>
      <rPr>
        <sz val="11"/>
        <rFont val="Arial"/>
        <family val="2"/>
      </rPr>
      <t>(restwaarde)</t>
    </r>
  </si>
  <si>
    <r>
      <t xml:space="preserve">     Gebruiksduur</t>
    </r>
    <r>
      <rPr>
        <sz val="11"/>
        <rFont val="Arial"/>
        <family val="2"/>
      </rPr>
      <t xml:space="preserve"> (jaren)</t>
    </r>
  </si>
  <si>
    <r>
      <t xml:space="preserve">     Calc. rentepercentage</t>
    </r>
    <r>
      <rPr>
        <sz val="11"/>
        <rFont val="Arial"/>
        <family val="2"/>
      </rPr>
      <t xml:space="preserve"> (i)</t>
    </r>
  </si>
  <si>
    <t>investering</t>
  </si>
  <si>
    <t>Aanschaf /</t>
  </si>
  <si>
    <t>exploitatie</t>
  </si>
  <si>
    <t>E</t>
  </si>
  <si>
    <t>G = B+C+D+E+F</t>
  </si>
  <si>
    <t>H</t>
  </si>
  <si>
    <t xml:space="preserve">Uitgaven dienen als negatieve </t>
  </si>
  <si>
    <t>getallen te worden ingevoerd,</t>
  </si>
  <si>
    <t>inkomsten als positieve getallen</t>
  </si>
  <si>
    <t>Overige</t>
  </si>
  <si>
    <t>Liquidatie</t>
  </si>
  <si>
    <t>opbrengsten</t>
  </si>
  <si>
    <r>
      <t xml:space="preserve">     Vermogenskosten </t>
    </r>
    <r>
      <rPr>
        <sz val="11"/>
        <rFont val="Arial"/>
        <family val="2"/>
      </rPr>
      <t>(calc. rentepercentage, i)</t>
    </r>
  </si>
  <si>
    <t xml:space="preserve">Investering PITH- Veiligheidssysteeem in in 100 woningen </t>
  </si>
  <si>
    <t>André Tijssen</t>
  </si>
  <si>
    <t xml:space="preserve">         Beeld woningtype</t>
  </si>
  <si>
    <t>EGZ woning met erker, aanbouw en losse schuur</t>
  </si>
  <si>
    <t>Specificaties valbeveiliging</t>
  </si>
  <si>
    <t>1. anker bij losse berging</t>
  </si>
  <si>
    <t>2. anker bij aanbouw berging</t>
  </si>
  <si>
    <t xml:space="preserve">3. anker bij serre voorgevel </t>
  </si>
  <si>
    <t>Losse berging</t>
  </si>
  <si>
    <t>aanbouw en hellend dak voorzijde</t>
  </si>
  <si>
    <t>aanbouw en hellend dak achterzijde</t>
  </si>
  <si>
    <t>ankerplan</t>
  </si>
  <si>
    <t>dekking</t>
  </si>
  <si>
    <t>kosten / woningbeveiliging</t>
  </si>
  <si>
    <t>kosten beveiliging regulier/beurt</t>
  </si>
  <si>
    <t>Kraan in bakje</t>
  </si>
  <si>
    <t>Middel</t>
  </si>
  <si>
    <t>Onderhoudsprogramma voor dit scenario.</t>
  </si>
  <si>
    <t>Vegitatiedak (mos sedum)</t>
  </si>
  <si>
    <t>Ja</t>
  </si>
  <si>
    <t>Nee</t>
  </si>
  <si>
    <t>Rookgasafvoer op het dak aanwezig</t>
  </si>
  <si>
    <t>Bitimineuze dakbedekking op het dak aanwezig</t>
  </si>
  <si>
    <t>Kunststof dakbedekking op het dak aanwezig</t>
  </si>
  <si>
    <t>Houten kozijnen boven de aanbouw aanwezig</t>
  </si>
  <si>
    <t>Dakramen of koepels in het platte of hellende dak aanwezig</t>
  </si>
  <si>
    <t>Keuze lijst voor het bepalen hoe vaak een dak betreden wordt</t>
  </si>
  <si>
    <t>Keuze lijst voor het vastellen van het EGW woningtype</t>
  </si>
  <si>
    <t>Berging los van de woning</t>
  </si>
  <si>
    <t>Aanbouw van de achterzijde van de woning</t>
  </si>
  <si>
    <t>Hellend dak</t>
  </si>
  <si>
    <t>Met het PITH-Systeem kunt u elk moment van de dag beveiligd het dak op en af kan en op het dak  werken.</t>
  </si>
  <si>
    <t>Optimale veiligheid voor € 3 per maand per woning</t>
  </si>
  <si>
    <t>Validatie</t>
  </si>
  <si>
    <t>Kunststof of aluminium kozijnen boven de aanbouw aanwezig</t>
  </si>
  <si>
    <t>Jaartal</t>
  </si>
  <si>
    <t>Aanbouw erker aan voorzijde van de woning</t>
  </si>
  <si>
    <t>5% per jaar</t>
  </si>
  <si>
    <t>Totaal der rijen</t>
  </si>
  <si>
    <t>Startjaar</t>
  </si>
  <si>
    <t>van toepassing</t>
  </si>
  <si>
    <t>aantal maal</t>
  </si>
  <si>
    <t>Beveiligen</t>
  </si>
  <si>
    <t>Beveiligen regulier PITH Systeem</t>
  </si>
  <si>
    <t>Totaal opgangen dak</t>
  </si>
  <si>
    <t>Ja / Nee</t>
  </si>
  <si>
    <t>Aantal ankers</t>
  </si>
  <si>
    <t>extra voor grote berging</t>
  </si>
  <si>
    <t>Totaal aantal ankers</t>
  </si>
  <si>
    <t>excl. BTW</t>
  </si>
  <si>
    <t>Totaal investering PITH-Systeem per woning</t>
  </si>
  <si>
    <t xml:space="preserve">Investering PITH- Veiligheidssysteeem in een 1woningen </t>
  </si>
  <si>
    <t>per woning elke 20 jaar</t>
  </si>
  <si>
    <t>Voordelen PITH Systeem</t>
  </si>
  <si>
    <t>Beveiligd dak op en af</t>
  </si>
  <si>
    <t>Uitsluiting aansprakelijkheid</t>
  </si>
  <si>
    <t>Integrale veiligheid 24-7 gegarandeerd</t>
  </si>
  <si>
    <t>Minder overlast voor bewoners</t>
  </si>
  <si>
    <t>Nadelen regulier systeem</t>
  </si>
  <si>
    <t>Als waterafvoersysteem te gebruiken</t>
  </si>
  <si>
    <t>Kostenbesparend</t>
  </si>
  <si>
    <t>Geen belasting op het object</t>
  </si>
  <si>
    <t>Veiligste wijze van aanlijnen</t>
  </si>
  <si>
    <t>Is geen collectieve voorziening</t>
  </si>
  <si>
    <t>Steiger</t>
  </si>
  <si>
    <t>leuning aan steiger zetten en op hoeken koppelen</t>
  </si>
  <si>
    <t>Steiger lossen en opbergen</t>
  </si>
  <si>
    <t>Totaal per eenheid</t>
  </si>
  <si>
    <t>Totaal in combi</t>
  </si>
  <si>
    <t>Extra indien aanbouw los van de woning &lt; 12 m2</t>
  </si>
  <si>
    <t>Warmtepomp of luchtbehandelingssyteem op het dak aanwezig</t>
  </si>
  <si>
    <t>Zonnepanelen of  zonneboiler op het platte of hellende dak aanwezig</t>
  </si>
  <si>
    <t>Schoorstenen aanwezig</t>
  </si>
  <si>
    <t>Aanbouw aan de woning &gt; 3 m1 uit gevel</t>
  </si>
  <si>
    <t>ja</t>
  </si>
  <si>
    <t>Dakafvoeren en goten in boom of bosrijke omgeving aanwezig</t>
  </si>
  <si>
    <t>Per woning / jaar</t>
  </si>
  <si>
    <t xml:space="preserve">Klachtenonderhoud op daken 5% </t>
  </si>
  <si>
    <t xml:space="preserve">Totaal HS-mast per woning / jaar </t>
  </si>
  <si>
    <t>Kosten HS mast keuring per anker.</t>
  </si>
  <si>
    <t xml:space="preserve">Totaal LS-ankerplaten per woning / jaar </t>
  </si>
  <si>
    <t>Productkosten</t>
  </si>
  <si>
    <t>Aantal ankers per 1 set van 2 PITH-LS ankerplaten</t>
  </si>
  <si>
    <t>Aantal ankers per 1 PITH-HS mast</t>
  </si>
  <si>
    <t>Totaal kosten  PITH HS-mast en set 2 LS ankerplaten incl. keuring per anker</t>
  </si>
  <si>
    <t>Kosten vervanging PITH-HS mast en set LS ankerplaten</t>
  </si>
  <si>
    <t>Kosten ankers incl plaatsing per woning</t>
  </si>
  <si>
    <t>Onderhoudssycli per daktype, startjaar en kosten reguliere veiligheidsvoorzieningen</t>
  </si>
  <si>
    <t>Aantal</t>
  </si>
  <si>
    <t>Aantal ankers  per systeem en prijs</t>
  </si>
  <si>
    <t>Koppelbaar  steigersysteem voor vergelijk PITH-Systemen</t>
  </si>
  <si>
    <t>Uitgangspunten voor keuze van een vaste koppelbare steiger</t>
  </si>
  <si>
    <t>We nemen als uitgangspunt dat voor een hellend dak bij een beukmaat van 5,5 meter minmaal 5 meter in de steiger gezet moet worden omdat we aan 2 zijdes 2 meter veilige zone moeten hebben.</t>
  </si>
  <si>
    <t xml:space="preserve">Zadeldak eengezinswoning </t>
  </si>
  <si>
    <t>Steigerbreedte</t>
  </si>
  <si>
    <t>Steigerhoogte</t>
  </si>
  <si>
    <t xml:space="preserve">We kiezen voor een flexibel steiger omdat voor gebruik het meestal niet duidelijk is, welke ondergrond en hoogteverschiller er ter plaatse van de steiger zijn. </t>
  </si>
  <si>
    <t>m2 steiger</t>
  </si>
  <si>
    <t>Aanbouw aan woning 4 x 2,5 m</t>
  </si>
  <si>
    <t>Breedte steiger</t>
  </si>
  <si>
    <t>Hoogte steiger</t>
  </si>
  <si>
    <t>De steigerbokken zijn 1,8 meter hoog.</t>
  </si>
  <si>
    <t>Voor plaatsen met aanbouwen en waar bomen of struiken in t.p.v. De steiger zullen ander oplossingen moeten worden gezocht.</t>
  </si>
  <si>
    <t>De steigervloeren zijn 2,5 meter lang.</t>
  </si>
  <si>
    <t>Bij  werkzaamheden op de nok, bv aan de schoorsteen dient het steiger aan 2 zijden geplaatst te worden.</t>
  </si>
  <si>
    <t>Lengte steiger (2 zijdig)</t>
  </si>
  <si>
    <t>Breedte steiger (2 zijdig)</t>
  </si>
  <si>
    <t>Losse berging 3 x 2,5 m</t>
  </si>
  <si>
    <t>Bij 2 zijdige dakwerkzaamheden</t>
  </si>
  <si>
    <t>Maatvoering</t>
  </si>
  <si>
    <t>Bij een hoekwoning dient regelmatig de kopgevel ook in de steiger te worden gezet. o.a. bij schoorsteen en zonnepanelen.</t>
  </si>
  <si>
    <t>We gaan uit van een gemiddelde norm in dit model.</t>
  </si>
  <si>
    <t>bIj steigeren kopgevel</t>
  </si>
  <si>
    <t>Norp tijd p/p</t>
  </si>
  <si>
    <t>We hanteren een uurloon van:</t>
  </si>
  <si>
    <t>Totaal kosten</t>
  </si>
  <si>
    <t>HS-systeem</t>
  </si>
  <si>
    <t>lossen en opbouwen</t>
  </si>
  <si>
    <t>Afbreken en opbergen</t>
  </si>
  <si>
    <t>LS-systeem</t>
  </si>
  <si>
    <t>Steiger opbouwen (30 m2)</t>
  </si>
  <si>
    <t>Totaal kosten Steiger</t>
  </si>
  <si>
    <t>Berekening steigeropp.</t>
  </si>
  <si>
    <t>We hanteren een norm van 30 m2 steigerwerk en bij 2 zijdig steigerwerk 60 m2</t>
  </si>
  <si>
    <t>We hanteren een norm van € 1,- per m2 steigerwerk voor afschrijving en keuring</t>
  </si>
  <si>
    <t>Afschrijving en keuring steiger m2</t>
  </si>
  <si>
    <t>Totaal keuringskosten  en systemen per jaar</t>
  </si>
  <si>
    <t>Bij het werken op een dak van een eengezinswoning moet het steiger tot aan de goothoogte geinstalleerd worden en afhankelijk van de werkplek minimaal 2 meter doorlopen t.o.v. de werkruimte.</t>
  </si>
  <si>
    <t>Dit heeft te maken met de bepaling van de veilige zone's en struikelgevaar op de werkplek.</t>
  </si>
  <si>
    <t>Het steiger is 90 cm breedt zodat het ook in een achterpad gebruikt kan worden.  In achterpaden moet het achterpad tijdelijk worden afgesloten bij plaatsing van het steiger en bewoners vooraf op de hoogte worden gesteld.</t>
  </si>
  <si>
    <t>Voorbeeld steiger.</t>
  </si>
  <si>
    <t>Steiger 30 m2</t>
  </si>
  <si>
    <t>Steiger laden en  losen op werk</t>
  </si>
  <si>
    <t>Steiger afbreken en opladen</t>
  </si>
  <si>
    <t>Bewonerscommunicatie en klachten i.v.m. steigerwerk in de tuin afhandelen.</t>
  </si>
  <si>
    <t>Norp tijd m2</t>
  </si>
  <si>
    <t>Normen</t>
  </si>
  <si>
    <t xml:space="preserve">Norp tijd </t>
  </si>
  <si>
    <t>Aantal m2</t>
  </si>
  <si>
    <t>aantal</t>
  </si>
  <si>
    <t>OH Cyclus</t>
  </si>
  <si>
    <r>
      <t xml:space="preserve">Indien u meerder werkzaamheden tegelijk aanpakt kunt u de werkzaamheden met de kortse onderhoudscyclus op </t>
    </r>
    <r>
      <rPr>
        <u/>
        <sz val="10"/>
        <rFont val="Arial"/>
        <family val="2"/>
      </rPr>
      <t>nee</t>
    </r>
    <r>
      <rPr>
        <sz val="10"/>
        <rFont val="Arial"/>
        <family val="2"/>
      </rPr>
      <t xml:space="preserve"> zetten.</t>
    </r>
  </si>
  <si>
    <t>syclus in jaren</t>
  </si>
  <si>
    <t>We hanteren in het investeringsmodel 300 euro voor het plaatsen van een steiger per onderhoudswerkzaamheid.</t>
  </si>
  <si>
    <t>De steiger is 0,9 meter breedt.</t>
  </si>
  <si>
    <t>De steiger wordt voorzien van kantplanken vlgs. norm.</t>
  </si>
  <si>
    <t>De steiger heeft een leuning van 0,9 m hoog met horizontale buizen om de 30 cm.</t>
  </si>
  <si>
    <t>Kosten keuring LS ankerplaten.</t>
  </si>
  <si>
    <t>kosten PITH HS mast per anker (levensduur 20 jaar)</t>
  </si>
  <si>
    <t>kosten PITH LS ankerplaat per anker (levensduur 50 jaar)</t>
  </si>
  <si>
    <t>2 stuks</t>
  </si>
  <si>
    <t>Aantal malen daktoetreding op exploitatie van :</t>
  </si>
  <si>
    <t>nee</t>
  </si>
  <si>
    <r>
      <rPr>
        <b/>
        <sz val="10"/>
        <rFont val="Arial"/>
        <family val="2"/>
      </rPr>
      <t>Kosten PITH-ysteem</t>
    </r>
    <r>
      <rPr>
        <sz val="10"/>
        <rFont val="Arial"/>
        <family val="2"/>
      </rPr>
      <t xml:space="preserve"> per woning netto contant over de exploitatieperiode</t>
    </r>
  </si>
  <si>
    <r>
      <rPr>
        <b/>
        <sz val="10"/>
        <rFont val="Arial"/>
        <family val="2"/>
      </rPr>
      <t>Kosten regulier systeem</t>
    </r>
    <r>
      <rPr>
        <sz val="10"/>
        <rFont val="Arial"/>
        <family val="2"/>
      </rPr>
      <t xml:space="preserve"> per woning netto contant over de exploitatieperiode</t>
    </r>
  </si>
  <si>
    <t>Exploitatiermijn (zelf een keuze te maken)</t>
  </si>
  <si>
    <t xml:space="preserve">PITH-Solutions biedt met het de PITH-systemen een betaalbare oplossing voor het veilig werken op hoogte. </t>
  </si>
  <si>
    <t>Uitgangspunt voor het PITH-Systeem is dat met maximaal 3 ankers per een woning het onderhoud aan daken en gevels</t>
  </si>
  <si>
    <t>Tevens hoeft u het systeem niet te vervangen, en kunt u het gebruiken bij het vernieuwen van de dakbedekking.</t>
  </si>
  <si>
    <t>Hieronder geven we een beeld van de kosten van het PITH-systeem en de reguliere methode waarbij met een steiger gewerkt wordt.</t>
  </si>
  <si>
    <t xml:space="preserve">Het overzicht wordt samengesteld door de keuzes die u aan de rechterzijde maakt en normen die in de praktijk getoest zijn. </t>
  </si>
  <si>
    <t>De kosten worden netto contant gemaakt naar vandaag over de gekozen exploitatieperiode</t>
  </si>
  <si>
    <t>In dit model is 5% van de daken per jaar opgenomen voor klachtonderhoud.</t>
  </si>
  <si>
    <t>Validatie Exploitatie</t>
  </si>
  <si>
    <t>Disconteringsfactor</t>
  </si>
  <si>
    <t>geheel veilig uitgevoerd kan worden.  In de berekening is rekening gehouden met 1 PITH-HS en LS-systeem op 5000 ankers</t>
  </si>
  <si>
    <t>voor de beveiliging van 2500 woningen. Bij meer ankers wordt het redement wat meer.</t>
  </si>
  <si>
    <t>Disconteringsfactor (woningcorporaties 4,8)</t>
  </si>
  <si>
    <t>Aantal malen op dak</t>
  </si>
  <si>
    <t>Klachten</t>
  </si>
  <si>
    <t>PO onderhoud Daktoetreding</t>
  </si>
  <si>
    <t>Totaal daktoetreding per jaar</t>
  </si>
  <si>
    <t>TOTAAL</t>
  </si>
  <si>
    <t xml:space="preserve">AANTAL DAKTOETREDINGEN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</si>
</sst>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2" formatCode="_(&quot;€&quot;\ * #,##0_);_(&quot;€&quot;\ * \(#,##0\);_(&quot;€&quot;\ * &quot;-&quot;_);_(@_)"/>
    <numFmt numFmtId="44" formatCode="_(&quot;€&quot;\ * #,##0.00_);_(&quot;€&quot;\ * \(#,##0.00\);_(&quot;€&quot;\ * &quot;-&quot;??_);_(@_)"/>
    <numFmt numFmtId="164" formatCode="&quot;€&quot;\ #,##0.00_-;[Red]&quot;€&quot;\ #,##0.00\-"/>
    <numFmt numFmtId="165" formatCode="0.0%"/>
    <numFmt numFmtId="166" formatCode="0.000000"/>
    <numFmt numFmtId="167" formatCode="0.000000%"/>
    <numFmt numFmtId="168" formatCode="&quot;Jaar&quot;\ #"/>
    <numFmt numFmtId="169" formatCode="&quot;jaar&quot;\ #"/>
    <numFmt numFmtId="170" formatCode="000\ &quot;stuks&quot;"/>
    <numFmt numFmtId="171" formatCode="0.00\ &quot;m&quot;"/>
    <numFmt numFmtId="172" formatCode="0.00\ &quot;m2&quot;"/>
    <numFmt numFmtId="173" formatCode="&quot;€&quot;\ 0.00\ &quot;uur&quot;"/>
    <numFmt numFmtId="174" formatCode="&quot;€&quot;\ #,##0.00"/>
    <numFmt numFmtId="175" formatCode="&quot;€&quot;\ 0.00\ &quot;m2&quot;"/>
    <numFmt numFmtId="176" formatCode="General\ &quot;Jaar&quot;"/>
    <numFmt numFmtId="177" formatCode="0\ "/>
  </numFmts>
  <fonts count="39" x14ac:knownFonts="1">
    <font>
      <sz val="10"/>
      <name val="Arial"/>
    </font>
    <font>
      <b/>
      <sz val="10"/>
      <name val="Arial"/>
      <family val="2"/>
    </font>
    <font>
      <i/>
      <sz val="10"/>
      <name val="Arial"/>
      <family val="2"/>
    </font>
    <font>
      <b/>
      <i/>
      <sz val="10"/>
      <name val="Arial"/>
      <family val="2"/>
    </font>
    <font>
      <sz val="10"/>
      <name val="Arial"/>
      <family val="2"/>
    </font>
    <font>
      <b/>
      <sz val="14"/>
      <name val="Arial"/>
      <family val="2"/>
    </font>
    <font>
      <b/>
      <sz val="12"/>
      <name val="Arial"/>
      <family val="2"/>
    </font>
    <font>
      <b/>
      <sz val="16"/>
      <name val="Times New Roman"/>
      <family val="1"/>
    </font>
    <font>
      <b/>
      <sz val="11"/>
      <name val="Arial"/>
      <family val="2"/>
    </font>
    <font>
      <sz val="11"/>
      <name val="Arial"/>
      <family val="2"/>
    </font>
    <font>
      <b/>
      <sz val="18"/>
      <name val="Arial"/>
      <family val="2"/>
    </font>
    <font>
      <i/>
      <sz val="11"/>
      <name val="Arial"/>
      <family val="2"/>
    </font>
    <font>
      <b/>
      <sz val="16"/>
      <name val="Arial"/>
      <family val="2"/>
    </font>
    <font>
      <b/>
      <sz val="10"/>
      <name val="Arial"/>
      <family val="2"/>
    </font>
    <font>
      <sz val="8"/>
      <name val="Arial"/>
      <family val="2"/>
    </font>
    <font>
      <sz val="10"/>
      <name val="Arial"/>
      <family val="2"/>
    </font>
    <font>
      <vertAlign val="superscript"/>
      <sz val="10"/>
      <name val="Arial"/>
      <family val="2"/>
    </font>
    <font>
      <b/>
      <i/>
      <sz val="11"/>
      <name val="Arial"/>
      <family val="2"/>
    </font>
    <font>
      <sz val="11"/>
      <name val="Arial"/>
      <family val="2"/>
    </font>
    <font>
      <b/>
      <sz val="11"/>
      <name val="Arial"/>
      <family val="2"/>
    </font>
    <font>
      <i/>
      <sz val="11"/>
      <name val="Arial"/>
      <family val="2"/>
    </font>
    <font>
      <b/>
      <i/>
      <u/>
      <sz val="9"/>
      <name val="Arial"/>
      <family val="2"/>
    </font>
    <font>
      <sz val="9"/>
      <name val="Arial"/>
      <family val="2"/>
    </font>
    <font>
      <b/>
      <i/>
      <sz val="9"/>
      <name val="Arial"/>
      <family val="2"/>
    </font>
    <font>
      <b/>
      <sz val="9"/>
      <name val="Arial"/>
      <family val="2"/>
    </font>
    <font>
      <b/>
      <i/>
      <u/>
      <sz val="8"/>
      <name val="Arial"/>
      <family val="2"/>
    </font>
    <font>
      <u/>
      <sz val="18"/>
      <name val="Arial"/>
      <family val="2"/>
    </font>
    <font>
      <b/>
      <u/>
      <sz val="10"/>
      <name val="Arial"/>
      <family val="2"/>
    </font>
    <font>
      <u/>
      <sz val="10"/>
      <name val="Arial"/>
      <family val="2"/>
    </font>
    <font>
      <sz val="14"/>
      <color theme="7"/>
      <name val="Arial"/>
      <family val="2"/>
    </font>
    <font>
      <sz val="10"/>
      <color theme="1"/>
      <name val="Arial"/>
      <family val="2"/>
    </font>
    <font>
      <b/>
      <i/>
      <sz val="10"/>
      <color theme="1"/>
      <name val="Arial"/>
      <family val="2"/>
    </font>
    <font>
      <sz val="10"/>
      <color theme="0"/>
      <name val="Arial"/>
      <family val="2"/>
    </font>
    <font>
      <b/>
      <u/>
      <sz val="10"/>
      <color theme="1"/>
      <name val="Arial"/>
      <family val="2"/>
    </font>
    <font>
      <sz val="12"/>
      <color rgb="FF000000"/>
      <name val="Calibri"/>
      <family val="2"/>
    </font>
    <font>
      <b/>
      <sz val="10"/>
      <color theme="1"/>
      <name val="Arial"/>
      <family val="2"/>
    </font>
    <font>
      <b/>
      <sz val="12"/>
      <color rgb="FF000000"/>
      <name val="Calibri"/>
      <family val="2"/>
    </font>
    <font>
      <sz val="10"/>
      <color rgb="FF000000"/>
      <name val="Calibri"/>
      <family val="2"/>
    </font>
    <font>
      <sz val="10"/>
      <color rgb="FF000000"/>
      <name val="Arial"/>
      <family val="2"/>
    </font>
  </fonts>
  <fills count="21">
    <fill>
      <patternFill patternType="none"/>
    </fill>
    <fill>
      <patternFill patternType="gray125"/>
    </fill>
    <fill>
      <patternFill patternType="solid">
        <fgColor indexed="31"/>
        <bgColor indexed="64"/>
      </patternFill>
    </fill>
    <fill>
      <patternFill patternType="solid">
        <fgColor indexed="13"/>
        <bgColor indexed="64"/>
      </patternFill>
    </fill>
    <fill>
      <patternFill patternType="solid">
        <fgColor indexed="43"/>
        <bgColor indexed="64"/>
      </patternFill>
    </fill>
    <fill>
      <patternFill patternType="solid">
        <fgColor rgb="FFFFFF00"/>
        <bgColor indexed="64"/>
      </patternFill>
    </fill>
    <fill>
      <patternFill patternType="solid">
        <fgColor theme="5" tint="0.39997558519241921"/>
        <bgColor indexed="64"/>
      </patternFill>
    </fill>
    <fill>
      <patternFill patternType="solid">
        <fgColor theme="0"/>
        <bgColor indexed="64"/>
      </patternFill>
    </fill>
    <fill>
      <patternFill patternType="solid">
        <fgColor theme="4" tint="0.79998168889431442"/>
        <bgColor indexed="64"/>
      </patternFill>
    </fill>
    <fill>
      <patternFill patternType="lightGrid">
        <fgColor theme="0"/>
        <bgColor theme="4"/>
      </patternFill>
    </fill>
    <fill>
      <patternFill patternType="lightHorizontal">
        <fgColor theme="0"/>
        <bgColor theme="7" tint="-0.24994659260841701"/>
      </patternFill>
    </fill>
    <fill>
      <patternFill patternType="solid">
        <fgColor theme="7" tint="0.39997558519241921"/>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theme="2" tint="-9.9978637043366805E-2"/>
        <bgColor indexed="64"/>
      </patternFill>
    </fill>
    <fill>
      <patternFill patternType="solid">
        <fgColor rgb="FF8EA9DB"/>
        <bgColor rgb="FF000000"/>
      </patternFill>
    </fill>
    <fill>
      <patternFill patternType="solid">
        <fgColor theme="7"/>
        <bgColor indexed="64"/>
      </patternFill>
    </fill>
    <fill>
      <patternFill patternType="solid">
        <fgColor rgb="FF92D050"/>
        <bgColor indexed="64"/>
      </patternFill>
    </fill>
    <fill>
      <patternFill patternType="solid">
        <fgColor theme="8" tint="0.59999389629810485"/>
        <bgColor indexed="64"/>
      </patternFill>
    </fill>
    <fill>
      <patternFill patternType="solid">
        <fgColor theme="9"/>
        <bgColor indexed="64"/>
      </patternFill>
    </fill>
    <fill>
      <patternFill patternType="solid">
        <fgColor theme="5"/>
        <bgColor indexed="64"/>
      </patternFill>
    </fill>
  </fills>
  <borders count="116">
    <border>
      <left/>
      <right/>
      <top/>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right style="medium">
        <color indexed="64"/>
      </right>
      <top/>
      <bottom/>
      <diagonal/>
    </border>
    <border>
      <left style="thick">
        <color indexed="64"/>
      </left>
      <right style="medium">
        <color indexed="64"/>
      </right>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top style="thick">
        <color indexed="64"/>
      </top>
      <bottom style="thick">
        <color indexed="64"/>
      </bottom>
      <diagonal/>
    </border>
    <border>
      <left/>
      <right style="thin">
        <color indexed="64"/>
      </right>
      <top/>
      <bottom/>
      <diagonal/>
    </border>
    <border>
      <left style="thick">
        <color indexed="64"/>
      </left>
      <right style="medium">
        <color indexed="64"/>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style="thick">
        <color indexed="64"/>
      </left>
      <right style="medium">
        <color indexed="64"/>
      </right>
      <top/>
      <bottom style="thin">
        <color indexed="64"/>
      </bottom>
      <diagonal/>
    </border>
    <border>
      <left style="thick">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thick">
        <color indexed="64"/>
      </bottom>
      <diagonal/>
    </border>
    <border>
      <left/>
      <right/>
      <top style="double">
        <color indexed="64"/>
      </top>
      <bottom/>
      <diagonal/>
    </border>
    <border>
      <left/>
      <right/>
      <top/>
      <bottom style="double">
        <color indexed="64"/>
      </bottom>
      <diagonal/>
    </border>
    <border>
      <left style="double">
        <color indexed="64"/>
      </left>
      <right/>
      <top style="double">
        <color indexed="64"/>
      </top>
      <bottom/>
      <diagonal/>
    </border>
    <border>
      <left style="thick">
        <color indexed="64"/>
      </left>
      <right style="medium">
        <color indexed="64"/>
      </right>
      <top style="medium">
        <color indexed="64"/>
      </top>
      <bottom/>
      <diagonal/>
    </border>
    <border>
      <left/>
      <right style="medium">
        <color indexed="64"/>
      </right>
      <top style="medium">
        <color indexed="64"/>
      </top>
      <bottom/>
      <diagonal/>
    </border>
    <border>
      <left/>
      <right style="thick">
        <color indexed="64"/>
      </right>
      <top style="medium">
        <color indexed="64"/>
      </top>
      <bottom/>
      <diagonal/>
    </border>
    <border>
      <left style="thick">
        <color indexed="64"/>
      </left>
      <right style="medium">
        <color indexed="64"/>
      </right>
      <top style="medium">
        <color indexed="64"/>
      </top>
      <bottom style="thick">
        <color indexed="64"/>
      </bottom>
      <diagonal/>
    </border>
    <border>
      <left/>
      <right style="thick">
        <color indexed="64"/>
      </right>
      <top style="medium">
        <color indexed="64"/>
      </top>
      <bottom style="thick">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diagonal/>
    </border>
    <border>
      <left/>
      <right style="thick">
        <color indexed="64"/>
      </right>
      <top style="double">
        <color indexed="64"/>
      </top>
      <bottom/>
      <diagonal/>
    </border>
    <border>
      <left style="double">
        <color indexed="64"/>
      </left>
      <right style="thin">
        <color indexed="64"/>
      </right>
      <top/>
      <bottom style="double">
        <color indexed="64"/>
      </bottom>
      <diagonal/>
    </border>
    <border>
      <left/>
      <right style="thick">
        <color indexed="64"/>
      </right>
      <top/>
      <bottom style="double">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thick">
        <color indexed="64"/>
      </right>
      <top/>
      <bottom style="thin">
        <color indexed="64"/>
      </bottom>
      <diagonal/>
    </border>
    <border>
      <left style="medium">
        <color indexed="64"/>
      </left>
      <right style="thick">
        <color indexed="64"/>
      </right>
      <top style="thick">
        <color indexed="64"/>
      </top>
      <bottom style="thin">
        <color indexed="64"/>
      </bottom>
      <diagonal/>
    </border>
    <border>
      <left style="double">
        <color indexed="64"/>
      </left>
      <right style="thin">
        <color indexed="64"/>
      </right>
      <top style="double">
        <color indexed="64"/>
      </top>
      <bottom style="thin">
        <color indexed="64"/>
      </bottom>
      <diagonal/>
    </border>
    <border>
      <left/>
      <right style="thick">
        <color indexed="64"/>
      </right>
      <top style="double">
        <color indexed="64"/>
      </top>
      <bottom style="thin">
        <color indexed="64"/>
      </bottom>
      <diagonal/>
    </border>
    <border>
      <left/>
      <right style="medium">
        <color indexed="64"/>
      </right>
      <top/>
      <bottom style="thin">
        <color indexed="64"/>
      </bottom>
      <diagonal/>
    </border>
    <border>
      <left style="thick">
        <color indexed="64"/>
      </left>
      <right/>
      <top/>
      <bottom style="thin">
        <color indexed="64"/>
      </bottom>
      <diagonal/>
    </border>
    <border>
      <left style="medium">
        <color indexed="64"/>
      </left>
      <right style="thick">
        <color indexed="64"/>
      </right>
      <top style="thin">
        <color indexed="64"/>
      </top>
      <bottom/>
      <diagonal/>
    </border>
    <border>
      <left style="medium">
        <color indexed="64"/>
      </left>
      <right style="thick">
        <color indexed="64"/>
      </right>
      <top/>
      <bottom/>
      <diagonal/>
    </border>
    <border>
      <left style="medium">
        <color indexed="64"/>
      </left>
      <right style="thick">
        <color indexed="64"/>
      </right>
      <top style="medium">
        <color indexed="64"/>
      </top>
      <bottom style="medium">
        <color indexed="64"/>
      </bottom>
      <diagonal/>
    </border>
    <border>
      <left style="medium">
        <color indexed="64"/>
      </left>
      <right style="thick">
        <color indexed="64"/>
      </right>
      <top style="medium">
        <color indexed="64"/>
      </top>
      <bottom style="thick">
        <color indexed="64"/>
      </bottom>
      <diagonal/>
    </border>
    <border>
      <left style="medium">
        <color indexed="64"/>
      </left>
      <right/>
      <top style="thick">
        <color indexed="64"/>
      </top>
      <bottom style="thick">
        <color indexed="64"/>
      </bottom>
      <diagonal/>
    </border>
    <border>
      <left style="medium">
        <color indexed="64"/>
      </left>
      <right style="thick">
        <color indexed="64"/>
      </right>
      <top style="thick">
        <color indexed="64"/>
      </top>
      <bottom/>
      <diagonal/>
    </border>
    <border>
      <left style="medium">
        <color indexed="64"/>
      </left>
      <right style="thick">
        <color indexed="64"/>
      </right>
      <top style="double">
        <color indexed="64"/>
      </top>
      <bottom/>
      <diagonal/>
    </border>
    <border>
      <left style="medium">
        <color indexed="64"/>
      </left>
      <right style="thick">
        <color indexed="64"/>
      </right>
      <top/>
      <bottom style="thin">
        <color indexed="64"/>
      </bottom>
      <diagonal/>
    </border>
    <border>
      <left/>
      <right style="double">
        <color indexed="64"/>
      </right>
      <top style="double">
        <color indexed="64"/>
      </top>
      <bottom/>
      <diagonal/>
    </border>
    <border>
      <left style="double">
        <color indexed="64"/>
      </left>
      <right/>
      <top/>
      <bottom style="double">
        <color indexed="64"/>
      </bottom>
      <diagonal/>
    </border>
    <border>
      <left style="double">
        <color indexed="64"/>
      </left>
      <right/>
      <top/>
      <bottom/>
      <diagonal/>
    </border>
    <border>
      <left/>
      <right style="double">
        <color indexed="64"/>
      </right>
      <top/>
      <bottom/>
      <diagonal/>
    </border>
    <border>
      <left/>
      <right style="double">
        <color indexed="64"/>
      </right>
      <top/>
      <bottom style="double">
        <color indexed="64"/>
      </bottom>
      <diagonal/>
    </border>
    <border>
      <left style="thick">
        <color indexed="64"/>
      </left>
      <right style="thick">
        <color indexed="64"/>
      </right>
      <top/>
      <bottom/>
      <diagonal/>
    </border>
    <border>
      <left style="thick">
        <color indexed="64"/>
      </left>
      <right/>
      <top style="thick">
        <color indexed="64"/>
      </top>
      <bottom/>
      <diagonal/>
    </border>
    <border>
      <left style="thin">
        <color indexed="64"/>
      </left>
      <right/>
      <top style="thick">
        <color indexed="64"/>
      </top>
      <bottom/>
      <diagonal/>
    </border>
    <border>
      <left style="thin">
        <color indexed="64"/>
      </left>
      <right/>
      <top/>
      <bottom/>
      <diagonal/>
    </border>
    <border>
      <left style="thin">
        <color indexed="64"/>
      </left>
      <right style="thin">
        <color indexed="64"/>
      </right>
      <top style="thick">
        <color indexed="64"/>
      </top>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thick">
        <color indexed="64"/>
      </right>
      <top/>
      <bottom style="thin">
        <color indexed="64"/>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ck">
        <color indexed="64"/>
      </bottom>
      <diagonal/>
    </border>
    <border>
      <left/>
      <right/>
      <top style="medium">
        <color indexed="64"/>
      </top>
      <bottom style="medium">
        <color indexed="64"/>
      </bottom>
      <diagonal/>
    </border>
    <border>
      <left/>
      <right/>
      <top style="medium">
        <color indexed="64"/>
      </top>
      <bottom style="thick">
        <color indexed="64"/>
      </bottom>
      <diagonal/>
    </border>
    <border>
      <left style="thick">
        <color indexed="64"/>
      </left>
      <right style="thick">
        <color indexed="64"/>
      </right>
      <top style="medium">
        <color indexed="64"/>
      </top>
      <bottom style="thick">
        <color indexed="64"/>
      </bottom>
      <diagonal/>
    </border>
    <border>
      <left/>
      <right/>
      <top/>
      <bottom style="thin">
        <color indexed="64"/>
      </bottom>
      <diagonal/>
    </border>
    <border>
      <left style="thick">
        <color indexed="64"/>
      </left>
      <right style="thick">
        <color indexed="64"/>
      </right>
      <top style="thin">
        <color indexed="64"/>
      </top>
      <bottom/>
      <diagonal/>
    </border>
    <border>
      <left style="medium">
        <color indexed="64"/>
      </left>
      <right style="medium">
        <color indexed="64"/>
      </right>
      <top style="thick">
        <color indexed="64"/>
      </top>
      <bottom/>
      <diagonal/>
    </border>
    <border>
      <left style="medium">
        <color indexed="64"/>
      </left>
      <right style="medium">
        <color indexed="64"/>
      </right>
      <top/>
      <bottom style="thick">
        <color indexed="64"/>
      </bottom>
      <diagonal/>
    </border>
    <border>
      <left style="medium">
        <color indexed="64"/>
      </left>
      <right style="thick">
        <color indexed="64"/>
      </right>
      <top/>
      <bottom style="thick">
        <color indexed="64"/>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ck">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ck">
        <color indexed="64"/>
      </left>
      <right style="medium">
        <color indexed="64"/>
      </right>
      <top/>
      <bottom style="hair">
        <color indexed="64"/>
      </bottom>
      <diagonal/>
    </border>
    <border>
      <left/>
      <right style="medium">
        <color indexed="64"/>
      </right>
      <top/>
      <bottom style="hair">
        <color indexed="64"/>
      </bottom>
      <diagonal/>
    </border>
    <border>
      <left/>
      <right style="thick">
        <color indexed="64"/>
      </right>
      <top/>
      <bottom style="hair">
        <color indexed="64"/>
      </bottom>
      <diagonal/>
    </border>
    <border>
      <left style="medium">
        <color indexed="64"/>
      </left>
      <right style="thick">
        <color indexed="64"/>
      </right>
      <top/>
      <bottom style="hair">
        <color indexed="64"/>
      </bottom>
      <diagonal/>
    </border>
    <border>
      <left style="thick">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right style="thick">
        <color indexed="64"/>
      </right>
      <top style="hair">
        <color indexed="64"/>
      </top>
      <bottom style="hair">
        <color indexed="64"/>
      </bottom>
      <diagonal/>
    </border>
    <border>
      <left style="medium">
        <color indexed="64"/>
      </left>
      <right style="thick">
        <color indexed="64"/>
      </right>
      <top style="hair">
        <color indexed="64"/>
      </top>
      <bottom style="hair">
        <color indexed="64"/>
      </bottom>
      <diagonal/>
    </border>
    <border>
      <left style="thick">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ck">
        <color indexed="64"/>
      </right>
      <top style="hair">
        <color indexed="64"/>
      </top>
      <bottom style="medium">
        <color indexed="64"/>
      </bottom>
      <diagonal/>
    </border>
    <border>
      <left style="medium">
        <color indexed="64"/>
      </left>
      <right style="thick">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s>
  <cellStyleXfs count="1">
    <xf numFmtId="0" fontId="0" fillId="0" borderId="0"/>
  </cellStyleXfs>
  <cellXfs count="348">
    <xf numFmtId="0" fontId="0" fillId="0" borderId="0" xfId="0"/>
    <xf numFmtId="0" fontId="1" fillId="0" borderId="0" xfId="0" applyFont="1"/>
    <xf numFmtId="0" fontId="0" fillId="0" borderId="1" xfId="0" applyBorder="1"/>
    <xf numFmtId="0" fontId="0" fillId="0" borderId="2" xfId="0" applyBorder="1"/>
    <xf numFmtId="0" fontId="0" fillId="0" borderId="0" xfId="0" applyBorder="1"/>
    <xf numFmtId="0" fontId="0" fillId="0" borderId="3" xfId="0" applyBorder="1"/>
    <xf numFmtId="0" fontId="0" fillId="0" borderId="4" xfId="0" applyBorder="1"/>
    <xf numFmtId="0" fontId="0" fillId="0" borderId="5" xfId="0" applyBorder="1"/>
    <xf numFmtId="0" fontId="0" fillId="0" borderId="6" xfId="0" applyBorder="1"/>
    <xf numFmtId="0" fontId="1" fillId="0" borderId="1" xfId="0" applyFont="1" applyBorder="1"/>
    <xf numFmtId="0" fontId="0" fillId="0" borderId="7" xfId="0" applyBorder="1"/>
    <xf numFmtId="0" fontId="0" fillId="0" borderId="8" xfId="0" applyBorder="1"/>
    <xf numFmtId="0" fontId="0" fillId="0" borderId="9" xfId="0" applyBorder="1"/>
    <xf numFmtId="0" fontId="6" fillId="0" borderId="0" xfId="0" applyFont="1"/>
    <xf numFmtId="0" fontId="1" fillId="0" borderId="0" xfId="0" applyFont="1" applyBorder="1" applyAlignment="1">
      <alignment horizontal="centerContinuous"/>
    </xf>
    <xf numFmtId="0" fontId="1" fillId="0" borderId="3" xfId="0" applyFont="1" applyBorder="1" applyAlignment="1">
      <alignment horizontal="centerContinuous"/>
    </xf>
    <xf numFmtId="0" fontId="0" fillId="0" borderId="10" xfId="0" applyBorder="1"/>
    <xf numFmtId="0" fontId="0" fillId="2" borderId="0" xfId="0" applyFill="1" applyBorder="1"/>
    <xf numFmtId="0" fontId="0" fillId="2" borderId="3" xfId="0" applyFill="1" applyBorder="1"/>
    <xf numFmtId="0" fontId="0" fillId="2" borderId="10" xfId="0" applyFill="1" applyBorder="1"/>
    <xf numFmtId="0" fontId="0" fillId="2" borderId="4" xfId="0" applyFill="1" applyBorder="1"/>
    <xf numFmtId="0" fontId="0" fillId="2" borderId="5" xfId="0" applyFill="1" applyBorder="1"/>
    <xf numFmtId="0" fontId="0" fillId="2" borderId="11" xfId="0" applyFill="1" applyBorder="1"/>
    <xf numFmtId="0" fontId="1" fillId="2" borderId="10" xfId="0" applyFont="1" applyFill="1" applyBorder="1"/>
    <xf numFmtId="0" fontId="1" fillId="2" borderId="4" xfId="0" applyFont="1" applyFill="1" applyBorder="1"/>
    <xf numFmtId="0" fontId="7" fillId="0" borderId="4" xfId="0" applyFont="1" applyBorder="1"/>
    <xf numFmtId="0" fontId="5" fillId="0" borderId="12" xfId="0" applyFont="1" applyBorder="1"/>
    <xf numFmtId="0" fontId="5" fillId="0" borderId="11" xfId="0" applyFont="1" applyBorder="1"/>
    <xf numFmtId="0" fontId="8" fillId="0" borderId="13" xfId="0" applyFont="1" applyBorder="1"/>
    <xf numFmtId="3" fontId="8" fillId="3" borderId="13" xfId="0" applyNumberFormat="1" applyFont="1" applyFill="1" applyBorder="1"/>
    <xf numFmtId="0" fontId="9" fillId="0" borderId="3" xfId="0" applyFont="1" applyBorder="1"/>
    <xf numFmtId="0" fontId="8" fillId="0" borderId="0" xfId="0" applyFont="1" applyBorder="1"/>
    <xf numFmtId="0" fontId="9" fillId="0" borderId="6" xfId="0" applyFont="1" applyBorder="1"/>
    <xf numFmtId="0" fontId="9" fillId="2" borderId="0" xfId="0" applyFont="1" applyFill="1" applyBorder="1"/>
    <xf numFmtId="0" fontId="8" fillId="3" borderId="3" xfId="0" applyFont="1" applyFill="1" applyBorder="1" applyAlignment="1">
      <alignment horizontal="center"/>
    </xf>
    <xf numFmtId="0" fontId="8" fillId="0" borderId="14" xfId="0" applyFont="1" applyBorder="1" applyAlignment="1">
      <alignment horizontal="center"/>
    </xf>
    <xf numFmtId="0" fontId="8" fillId="0" borderId="15" xfId="0" applyFont="1" applyBorder="1" applyAlignment="1">
      <alignment horizontal="center"/>
    </xf>
    <xf numFmtId="0" fontId="8" fillId="0" borderId="9" xfId="0" applyFont="1" applyBorder="1" applyAlignment="1">
      <alignment horizontal="center"/>
    </xf>
    <xf numFmtId="0" fontId="8" fillId="0" borderId="16" xfId="0" applyFont="1" applyBorder="1" applyAlignment="1">
      <alignment horizontal="center"/>
    </xf>
    <xf numFmtId="0" fontId="8" fillId="0" borderId="17" xfId="0" applyFont="1" applyBorder="1" applyAlignment="1">
      <alignment horizontal="center"/>
    </xf>
    <xf numFmtId="0" fontId="8" fillId="0" borderId="5" xfId="0" applyFont="1" applyBorder="1" applyAlignment="1">
      <alignment horizontal="center"/>
    </xf>
    <xf numFmtId="0" fontId="8" fillId="0" borderId="18" xfId="0" applyFont="1" applyBorder="1" applyAlignment="1">
      <alignment horizontal="center"/>
    </xf>
    <xf numFmtId="0" fontId="9" fillId="0" borderId="7" xfId="0" applyFont="1" applyBorder="1"/>
    <xf numFmtId="0" fontId="8" fillId="0" borderId="19" xfId="0" applyFont="1" applyBorder="1"/>
    <xf numFmtId="0" fontId="8" fillId="0" borderId="20" xfId="0" applyFont="1" applyBorder="1"/>
    <xf numFmtId="3" fontId="8" fillId="0" borderId="21" xfId="0" applyNumberFormat="1" applyFont="1" applyBorder="1"/>
    <xf numFmtId="0" fontId="8" fillId="0" borderId="7" xfId="0" applyFont="1" applyBorder="1"/>
    <xf numFmtId="0" fontId="8" fillId="0" borderId="6" xfId="0" applyFont="1" applyBorder="1"/>
    <xf numFmtId="0" fontId="8" fillId="0" borderId="3" xfId="0" applyFont="1" applyBorder="1"/>
    <xf numFmtId="0" fontId="8" fillId="0" borderId="22" xfId="0" applyFont="1" applyBorder="1"/>
    <xf numFmtId="0" fontId="0" fillId="0" borderId="23" xfId="0" applyBorder="1"/>
    <xf numFmtId="0" fontId="0" fillId="0" borderId="24" xfId="0" applyBorder="1"/>
    <xf numFmtId="0" fontId="8" fillId="0" borderId="24" xfId="0" applyFont="1" applyBorder="1" applyAlignment="1">
      <alignment horizontal="center"/>
    </xf>
    <xf numFmtId="0" fontId="6" fillId="0" borderId="25" xfId="0" applyFont="1" applyBorder="1"/>
    <xf numFmtId="0" fontId="0" fillId="0" borderId="8" xfId="0" applyFill="1" applyBorder="1"/>
    <xf numFmtId="3" fontId="8" fillId="0" borderId="0" xfId="0" applyNumberFormat="1" applyFont="1" applyFill="1" applyBorder="1" applyAlignment="1">
      <alignment horizontal="center"/>
    </xf>
    <xf numFmtId="0" fontId="9" fillId="0" borderId="0" xfId="0" applyFont="1" applyFill="1" applyBorder="1"/>
    <xf numFmtId="0" fontId="8" fillId="0" borderId="0" xfId="0" applyFont="1" applyFill="1" applyBorder="1" applyAlignment="1">
      <alignment horizontal="center"/>
    </xf>
    <xf numFmtId="10" fontId="8" fillId="0" borderId="0" xfId="0" applyNumberFormat="1" applyFont="1" applyFill="1" applyBorder="1" applyAlignment="1">
      <alignment horizontal="center"/>
    </xf>
    <xf numFmtId="0" fontId="0" fillId="0" borderId="0" xfId="0" applyFill="1" applyBorder="1"/>
    <xf numFmtId="0" fontId="8" fillId="2" borderId="0" xfId="0" applyFont="1" applyFill="1" applyBorder="1" applyAlignment="1">
      <alignment horizontal="center"/>
    </xf>
    <xf numFmtId="3" fontId="8" fillId="2" borderId="0" xfId="0" applyNumberFormat="1" applyFont="1" applyFill="1" applyBorder="1"/>
    <xf numFmtId="0" fontId="8" fillId="2" borderId="0" xfId="0" applyFont="1" applyFill="1" applyBorder="1"/>
    <xf numFmtId="3" fontId="6" fillId="0" borderId="2" xfId="0" applyNumberFormat="1" applyFont="1" applyBorder="1"/>
    <xf numFmtId="0" fontId="8" fillId="2" borderId="26" xfId="0" applyFont="1" applyFill="1" applyBorder="1"/>
    <xf numFmtId="0" fontId="8" fillId="2" borderId="27" xfId="0" applyFont="1" applyFill="1" applyBorder="1"/>
    <xf numFmtId="0" fontId="8" fillId="2" borderId="28" xfId="0" applyFont="1" applyFill="1" applyBorder="1"/>
    <xf numFmtId="0" fontId="8" fillId="2" borderId="29" xfId="0" applyFont="1" applyFill="1" applyBorder="1"/>
    <xf numFmtId="0" fontId="8" fillId="2" borderId="30" xfId="0" applyFont="1" applyFill="1" applyBorder="1"/>
    <xf numFmtId="3" fontId="11" fillId="0" borderId="19" xfId="0" applyNumberFormat="1" applyFont="1" applyBorder="1"/>
    <xf numFmtId="3" fontId="11" fillId="0" borderId="21" xfId="0" applyNumberFormat="1" applyFont="1" applyBorder="1"/>
    <xf numFmtId="0" fontId="8" fillId="0" borderId="1" xfId="0" applyFont="1" applyBorder="1"/>
    <xf numFmtId="0" fontId="9" fillId="0" borderId="1" xfId="0" applyFont="1" applyBorder="1"/>
    <xf numFmtId="0" fontId="9" fillId="0" borderId="2" xfId="0" applyFont="1" applyBorder="1"/>
    <xf numFmtId="0" fontId="10" fillId="0" borderId="4" xfId="0" applyFont="1" applyBorder="1"/>
    <xf numFmtId="0" fontId="12" fillId="0" borderId="4" xfId="0" applyFont="1" applyBorder="1"/>
    <xf numFmtId="0" fontId="13" fillId="0" borderId="0" xfId="0" applyFont="1" applyBorder="1" applyAlignment="1">
      <alignment horizontal="centerContinuous"/>
    </xf>
    <xf numFmtId="165" fontId="8" fillId="3" borderId="31" xfId="0" applyNumberFormat="1" applyFont="1" applyFill="1" applyBorder="1" applyAlignment="1">
      <alignment horizontal="center"/>
    </xf>
    <xf numFmtId="166" fontId="15" fillId="0" borderId="32" xfId="0" applyNumberFormat="1" applyFont="1" applyBorder="1" applyAlignment="1">
      <alignment horizontal="center"/>
    </xf>
    <xf numFmtId="166" fontId="15" fillId="0" borderId="33" xfId="0" applyNumberFormat="1" applyFont="1" applyBorder="1" applyAlignment="1">
      <alignment horizontal="center"/>
    </xf>
    <xf numFmtId="167" fontId="15" fillId="0" borderId="34" xfId="0" applyNumberFormat="1" applyFont="1" applyBorder="1" applyAlignment="1">
      <alignment horizontal="center"/>
    </xf>
    <xf numFmtId="167" fontId="15" fillId="0" borderId="35" xfId="0" applyNumberFormat="1" applyFont="1" applyBorder="1" applyAlignment="1">
      <alignment horizontal="center"/>
    </xf>
    <xf numFmtId="166" fontId="15" fillId="0" borderId="36" xfId="0" applyNumberFormat="1" applyFont="1" applyBorder="1"/>
    <xf numFmtId="166" fontId="15" fillId="0" borderId="3" xfId="0" applyNumberFormat="1" applyFont="1" applyBorder="1"/>
    <xf numFmtId="166" fontId="15" fillId="0" borderId="37" xfId="0" applyNumberFormat="1" applyFont="1" applyBorder="1"/>
    <xf numFmtId="166" fontId="15" fillId="0" borderId="38" xfId="0" applyNumberFormat="1" applyFont="1" applyBorder="1"/>
    <xf numFmtId="166" fontId="15" fillId="0" borderId="34" xfId="0" applyNumberFormat="1" applyFont="1" applyBorder="1"/>
    <xf numFmtId="166" fontId="15" fillId="0" borderId="35" xfId="0" applyNumberFormat="1" applyFont="1" applyBorder="1"/>
    <xf numFmtId="0" fontId="0" fillId="0" borderId="18" xfId="0" applyBorder="1" applyAlignment="1">
      <alignment horizontal="center"/>
    </xf>
    <xf numFmtId="0" fontId="0" fillId="0" borderId="38" xfId="0" applyBorder="1" applyAlignment="1">
      <alignment horizontal="center"/>
    </xf>
    <xf numFmtId="165" fontId="9" fillId="0" borderId="39" xfId="0" applyNumberFormat="1" applyFont="1" applyBorder="1" applyAlignment="1">
      <alignment horizontal="center"/>
    </xf>
    <xf numFmtId="166" fontId="15" fillId="0" borderId="40" xfId="0" applyNumberFormat="1" applyFont="1" applyBorder="1" applyAlignment="1">
      <alignment horizontal="center"/>
    </xf>
    <xf numFmtId="166" fontId="15" fillId="0" borderId="41" xfId="0" applyNumberFormat="1" applyFont="1" applyBorder="1" applyAlignment="1">
      <alignment horizontal="center"/>
    </xf>
    <xf numFmtId="0" fontId="0" fillId="0" borderId="42" xfId="0" applyBorder="1" applyAlignment="1">
      <alignment horizontal="center"/>
    </xf>
    <xf numFmtId="0" fontId="8" fillId="0" borderId="11" xfId="0" applyFont="1" applyBorder="1"/>
    <xf numFmtId="0" fontId="8" fillId="0" borderId="43" xfId="0" applyFont="1" applyBorder="1"/>
    <xf numFmtId="165" fontId="8" fillId="0" borderId="44" xfId="0" applyNumberFormat="1" applyFont="1" applyBorder="1" applyAlignment="1">
      <alignment horizontal="center"/>
    </xf>
    <xf numFmtId="0" fontId="9" fillId="0" borderId="45" xfId="0" applyFont="1" applyBorder="1"/>
    <xf numFmtId="0" fontId="9" fillId="0" borderId="46" xfId="0" applyFont="1" applyBorder="1"/>
    <xf numFmtId="0" fontId="8" fillId="0" borderId="46" xfId="0" applyFont="1" applyBorder="1"/>
    <xf numFmtId="0" fontId="8" fillId="0" borderId="45" xfId="0" applyFont="1" applyBorder="1"/>
    <xf numFmtId="0" fontId="8" fillId="2" borderId="47" xfId="0" applyFont="1" applyFill="1" applyBorder="1"/>
    <xf numFmtId="0" fontId="6" fillId="0" borderId="48" xfId="0" applyFont="1" applyBorder="1"/>
    <xf numFmtId="0" fontId="8" fillId="0" borderId="2" xfId="0" applyFont="1" applyBorder="1"/>
    <xf numFmtId="0" fontId="9" fillId="0" borderId="12" xfId="0" applyFont="1" applyBorder="1"/>
    <xf numFmtId="0" fontId="8" fillId="0" borderId="0" xfId="0" applyFont="1" applyFill="1" applyBorder="1"/>
    <xf numFmtId="0" fontId="9" fillId="0" borderId="6" xfId="0" applyFont="1" applyFill="1" applyBorder="1"/>
    <xf numFmtId="0" fontId="0" fillId="0" borderId="49" xfId="0" applyBorder="1"/>
    <xf numFmtId="0" fontId="0" fillId="0" borderId="50" xfId="0" applyBorder="1"/>
    <xf numFmtId="3" fontId="8" fillId="3" borderId="51" xfId="0" applyNumberFormat="1" applyFont="1" applyFill="1" applyBorder="1" applyAlignment="1">
      <alignment horizontal="center"/>
    </xf>
    <xf numFmtId="0" fontId="0" fillId="0" borderId="23" xfId="0" applyFill="1" applyBorder="1"/>
    <xf numFmtId="0" fontId="0" fillId="0" borderId="52" xfId="0" applyFill="1" applyBorder="1"/>
    <xf numFmtId="0" fontId="8" fillId="0" borderId="53" xfId="0" applyFont="1" applyBorder="1" applyAlignment="1"/>
    <xf numFmtId="0" fontId="0" fillId="0" borderId="54" xfId="0" applyBorder="1"/>
    <xf numFmtId="0" fontId="0" fillId="0" borderId="55" xfId="0" applyBorder="1"/>
    <xf numFmtId="0" fontId="0" fillId="0" borderId="56" xfId="0" applyFill="1" applyBorder="1"/>
    <xf numFmtId="0" fontId="8" fillId="0" borderId="24" xfId="0" applyFont="1" applyBorder="1" applyAlignment="1">
      <alignment horizontal="right"/>
    </xf>
    <xf numFmtId="0" fontId="0" fillId="0" borderId="57" xfId="0" applyBorder="1"/>
    <xf numFmtId="0" fontId="6" fillId="0" borderId="58" xfId="0" applyFont="1" applyBorder="1"/>
    <xf numFmtId="0" fontId="1" fillId="0" borderId="8" xfId="0" applyFont="1" applyBorder="1"/>
    <xf numFmtId="0" fontId="0" fillId="0" borderId="59" xfId="0" applyBorder="1"/>
    <xf numFmtId="0" fontId="8" fillId="0" borderId="60" xfId="0" applyFont="1" applyFill="1" applyBorder="1"/>
    <xf numFmtId="0" fontId="0" fillId="0" borderId="60" xfId="0" applyBorder="1"/>
    <xf numFmtId="0" fontId="0" fillId="0" borderId="61" xfId="0" applyBorder="1"/>
    <xf numFmtId="164" fontId="0" fillId="0" borderId="0" xfId="0" applyNumberFormat="1"/>
    <xf numFmtId="3" fontId="8" fillId="0" borderId="38" xfId="0" applyNumberFormat="1" applyFont="1" applyFill="1" applyBorder="1"/>
    <xf numFmtId="0" fontId="6" fillId="0" borderId="1" xfId="0" applyFont="1" applyBorder="1"/>
    <xf numFmtId="0" fontId="0" fillId="0" borderId="45" xfId="0" applyBorder="1"/>
    <xf numFmtId="0" fontId="5" fillId="0" borderId="58" xfId="0" applyFont="1" applyBorder="1"/>
    <xf numFmtId="0" fontId="6" fillId="0" borderId="11" xfId="0" applyFont="1" applyFill="1" applyBorder="1"/>
    <xf numFmtId="0" fontId="1" fillId="0" borderId="0" xfId="0" applyFont="1" applyFill="1" applyBorder="1"/>
    <xf numFmtId="0" fontId="8" fillId="0" borderId="11" xfId="0" applyFont="1" applyFill="1" applyBorder="1"/>
    <xf numFmtId="0" fontId="0" fillId="0" borderId="0" xfId="0" applyFill="1"/>
    <xf numFmtId="3" fontId="8" fillId="0" borderId="0" xfId="0" applyNumberFormat="1" applyFont="1" applyFill="1" applyBorder="1"/>
    <xf numFmtId="0" fontId="8" fillId="0" borderId="58" xfId="0" applyFont="1" applyBorder="1" applyAlignment="1">
      <alignment horizontal="center"/>
    </xf>
    <xf numFmtId="0" fontId="8" fillId="0" borderId="10" xfId="0" applyFont="1" applyBorder="1" applyAlignment="1">
      <alignment horizontal="center"/>
    </xf>
    <xf numFmtId="0" fontId="0" fillId="0" borderId="43" xfId="0" applyBorder="1" applyAlignment="1">
      <alignment horizontal="center"/>
    </xf>
    <xf numFmtId="0" fontId="0" fillId="0" borderId="11" xfId="0" applyBorder="1"/>
    <xf numFmtId="0" fontId="8" fillId="0" borderId="43" xfId="0" applyFont="1" applyBorder="1" applyAlignment="1">
      <alignment horizontal="center"/>
    </xf>
    <xf numFmtId="0" fontId="8" fillId="0" borderId="62" xfId="0" applyFont="1" applyBorder="1" applyAlignment="1">
      <alignment horizontal="center"/>
    </xf>
    <xf numFmtId="0" fontId="8" fillId="0" borderId="63" xfId="0" applyFont="1" applyBorder="1" applyAlignment="1">
      <alignment horizontal="center"/>
    </xf>
    <xf numFmtId="0" fontId="0" fillId="0" borderId="64" xfId="0" applyBorder="1" applyAlignment="1">
      <alignment horizontal="center"/>
    </xf>
    <xf numFmtId="0" fontId="18" fillId="0" borderId="11" xfId="0" applyFont="1" applyBorder="1"/>
    <xf numFmtId="3" fontId="8" fillId="0" borderId="64" xfId="0" applyNumberFormat="1" applyFont="1" applyBorder="1"/>
    <xf numFmtId="0" fontId="9" fillId="0" borderId="57" xfId="0" applyFont="1" applyBorder="1"/>
    <xf numFmtId="3" fontId="17" fillId="0" borderId="65" xfId="0" applyNumberFormat="1" applyFont="1" applyBorder="1"/>
    <xf numFmtId="0" fontId="8" fillId="2" borderId="66" xfId="0" applyFont="1" applyFill="1" applyBorder="1"/>
    <xf numFmtId="3" fontId="6" fillId="0" borderId="67" xfId="0" applyNumberFormat="1" applyFont="1" applyBorder="1"/>
    <xf numFmtId="3" fontId="19" fillId="0" borderId="64" xfId="0" applyNumberFormat="1" applyFont="1" applyBorder="1"/>
    <xf numFmtId="3" fontId="19" fillId="0" borderId="68" xfId="0" applyNumberFormat="1" applyFont="1" applyBorder="1"/>
    <xf numFmtId="0" fontId="9" fillId="0" borderId="0" xfId="0" applyFont="1" applyBorder="1"/>
    <xf numFmtId="3" fontId="11" fillId="0" borderId="46" xfId="0" applyNumberFormat="1" applyFont="1" applyBorder="1"/>
    <xf numFmtId="0" fontId="9" fillId="0" borderId="69" xfId="0" applyFont="1" applyBorder="1"/>
    <xf numFmtId="0" fontId="8" fillId="2" borderId="70" xfId="0" applyFont="1" applyFill="1" applyBorder="1"/>
    <xf numFmtId="3" fontId="11" fillId="0" borderId="71" xfId="0" applyNumberFormat="1" applyFont="1" applyBorder="1"/>
    <xf numFmtId="0" fontId="8" fillId="2" borderId="72" xfId="0" applyFont="1" applyFill="1" applyBorder="1"/>
    <xf numFmtId="3" fontId="11" fillId="0" borderId="65" xfId="0" applyNumberFormat="1" applyFont="1" applyBorder="1"/>
    <xf numFmtId="0" fontId="8" fillId="2" borderId="73" xfId="0" applyFont="1" applyFill="1" applyBorder="1"/>
    <xf numFmtId="0" fontId="8" fillId="0" borderId="58" xfId="0" applyFont="1" applyFill="1" applyBorder="1" applyAlignment="1">
      <alignment horizontal="center"/>
    </xf>
    <xf numFmtId="0" fontId="8" fillId="0" borderId="4" xfId="0" applyFont="1" applyBorder="1" applyAlignment="1">
      <alignment horizontal="center"/>
    </xf>
    <xf numFmtId="0" fontId="0" fillId="0" borderId="74" xfId="0" applyBorder="1" applyAlignment="1">
      <alignment horizontal="center"/>
    </xf>
    <xf numFmtId="0" fontId="12" fillId="0" borderId="4" xfId="0" applyFont="1" applyBorder="1" applyAlignment="1">
      <alignment horizontal="right"/>
    </xf>
    <xf numFmtId="0" fontId="8" fillId="0" borderId="0" xfId="0" applyFont="1" applyBorder="1" applyAlignment="1">
      <alignment horizontal="right"/>
    </xf>
    <xf numFmtId="0" fontId="8" fillId="0" borderId="24" xfId="0" applyFont="1" applyFill="1" applyBorder="1" applyAlignment="1">
      <alignment horizontal="center"/>
    </xf>
    <xf numFmtId="0" fontId="0" fillId="0" borderId="24" xfId="0" applyFill="1" applyBorder="1"/>
    <xf numFmtId="0" fontId="18" fillId="0" borderId="0" xfId="0" applyFont="1" applyBorder="1"/>
    <xf numFmtId="3" fontId="8" fillId="0" borderId="75" xfId="0" applyNumberFormat="1" applyFont="1" applyFill="1" applyBorder="1"/>
    <xf numFmtId="0" fontId="20" fillId="0" borderId="0" xfId="0" applyFont="1" applyFill="1" applyBorder="1" applyAlignment="1">
      <alignment horizontal="centerContinuous"/>
    </xf>
    <xf numFmtId="0" fontId="0" fillId="0" borderId="3" xfId="0" applyFill="1" applyBorder="1" applyAlignment="1">
      <alignment horizontal="centerContinuous"/>
    </xf>
    <xf numFmtId="0" fontId="8" fillId="0" borderId="76" xfId="0" applyFont="1" applyBorder="1" applyAlignment="1">
      <alignment horizontal="center"/>
    </xf>
    <xf numFmtId="0" fontId="8" fillId="0" borderId="76" xfId="0" applyFont="1" applyFill="1" applyBorder="1" applyAlignment="1">
      <alignment horizontal="center"/>
    </xf>
    <xf numFmtId="0" fontId="8" fillId="0" borderId="49" xfId="0" applyFont="1" applyFill="1" applyBorder="1" applyAlignment="1">
      <alignment horizontal="center"/>
    </xf>
    <xf numFmtId="0" fontId="8" fillId="0" borderId="77" xfId="0" applyFont="1" applyBorder="1" applyAlignment="1">
      <alignment horizontal="center"/>
    </xf>
    <xf numFmtId="0" fontId="8" fillId="0" borderId="78" xfId="0" applyFont="1" applyBorder="1" applyAlignment="1">
      <alignment horizontal="center"/>
    </xf>
    <xf numFmtId="0" fontId="0" fillId="0" borderId="79" xfId="0" applyBorder="1" applyAlignment="1">
      <alignment horizontal="center"/>
    </xf>
    <xf numFmtId="0" fontId="0" fillId="0" borderId="80" xfId="0" applyBorder="1" applyAlignment="1">
      <alignment horizontal="center"/>
    </xf>
    <xf numFmtId="0" fontId="0" fillId="0" borderId="51" xfId="0" applyBorder="1" applyAlignment="1">
      <alignment horizontal="center"/>
    </xf>
    <xf numFmtId="0" fontId="0" fillId="0" borderId="69" xfId="0" applyBorder="1"/>
    <xf numFmtId="3" fontId="8" fillId="0" borderId="81" xfId="0" applyNumberFormat="1" applyFont="1" applyBorder="1"/>
    <xf numFmtId="3" fontId="8" fillId="0" borderId="69" xfId="0" applyNumberFormat="1" applyFont="1" applyBorder="1"/>
    <xf numFmtId="3" fontId="8" fillId="0" borderId="45" xfId="0" applyNumberFormat="1" applyFont="1" applyBorder="1"/>
    <xf numFmtId="3" fontId="11" fillId="0" borderId="82" xfId="0" applyNumberFormat="1" applyFont="1" applyBorder="1"/>
    <xf numFmtId="0" fontId="8" fillId="2" borderId="83" xfId="0" applyFont="1" applyFill="1" applyBorder="1"/>
    <xf numFmtId="3" fontId="8" fillId="0" borderId="80" xfId="0" applyNumberFormat="1" applyFont="1" applyFill="1" applyBorder="1"/>
    <xf numFmtId="3" fontId="8" fillId="0" borderId="51" xfId="0" applyNumberFormat="1" applyFont="1" applyFill="1" applyBorder="1"/>
    <xf numFmtId="3" fontId="8" fillId="0" borderId="84" xfId="0" applyNumberFormat="1" applyFont="1" applyBorder="1"/>
    <xf numFmtId="3" fontId="8" fillId="3" borderId="85" xfId="0" applyNumberFormat="1" applyFont="1" applyFill="1" applyBorder="1"/>
    <xf numFmtId="0" fontId="0" fillId="4" borderId="23" xfId="0" applyFill="1" applyBorder="1"/>
    <xf numFmtId="0" fontId="0" fillId="4" borderId="24" xfId="0" applyFill="1" applyBorder="1"/>
    <xf numFmtId="3" fontId="8" fillId="4" borderId="13" xfId="0" applyNumberFormat="1" applyFont="1" applyFill="1" applyBorder="1"/>
    <xf numFmtId="3" fontId="8" fillId="4" borderId="85" xfId="0" applyNumberFormat="1" applyFont="1" applyFill="1" applyBorder="1"/>
    <xf numFmtId="3" fontId="8" fillId="4" borderId="51" xfId="0" applyNumberFormat="1" applyFont="1" applyFill="1" applyBorder="1" applyAlignment="1">
      <alignment horizontal="center"/>
    </xf>
    <xf numFmtId="0" fontId="8" fillId="4" borderId="3" xfId="0" applyFont="1" applyFill="1" applyBorder="1" applyAlignment="1">
      <alignment horizontal="center"/>
    </xf>
    <xf numFmtId="3" fontId="8" fillId="4" borderId="18" xfId="0" applyNumberFormat="1" applyFont="1" applyFill="1" applyBorder="1"/>
    <xf numFmtId="0" fontId="0" fillId="4" borderId="0" xfId="0" applyFill="1" applyBorder="1"/>
    <xf numFmtId="165" fontId="8" fillId="4" borderId="31" xfId="0" applyNumberFormat="1" applyFont="1" applyFill="1" applyBorder="1" applyAlignment="1">
      <alignment horizontal="center"/>
    </xf>
    <xf numFmtId="3" fontId="8" fillId="4" borderId="80" xfId="0" applyNumberFormat="1" applyFont="1" applyFill="1" applyBorder="1"/>
    <xf numFmtId="3" fontId="8" fillId="4" borderId="51" xfId="0" applyNumberFormat="1" applyFont="1" applyFill="1" applyBorder="1"/>
    <xf numFmtId="0" fontId="8" fillId="0" borderId="86" xfId="0" applyFont="1" applyBorder="1" applyAlignment="1">
      <alignment horizontal="center"/>
    </xf>
    <xf numFmtId="0" fontId="8" fillId="0" borderId="87" xfId="0" applyFont="1" applyBorder="1" applyAlignment="1">
      <alignment horizontal="center"/>
    </xf>
    <xf numFmtId="0" fontId="8" fillId="0" borderId="86" xfId="0" applyFont="1" applyFill="1" applyBorder="1"/>
    <xf numFmtId="3" fontId="8" fillId="0" borderId="88" xfId="0" applyNumberFormat="1" applyFont="1" applyFill="1" applyBorder="1"/>
    <xf numFmtId="3" fontId="8" fillId="0" borderId="86" xfId="0" applyNumberFormat="1" applyFont="1" applyBorder="1"/>
    <xf numFmtId="166" fontId="8" fillId="0" borderId="89" xfId="0" applyNumberFormat="1" applyFont="1" applyBorder="1"/>
    <xf numFmtId="0" fontId="8" fillId="0" borderId="88" xfId="0" applyFont="1" applyBorder="1"/>
    <xf numFmtId="0" fontId="8" fillId="0" borderId="90" xfId="0" applyFont="1" applyBorder="1" applyAlignment="1">
      <alignment horizontal="center"/>
    </xf>
    <xf numFmtId="0" fontId="8" fillId="0" borderId="91" xfId="0" applyFont="1" applyBorder="1" applyAlignment="1">
      <alignment horizontal="center"/>
    </xf>
    <xf numFmtId="3" fontId="8" fillId="3" borderId="92" xfId="0" applyNumberFormat="1" applyFont="1" applyFill="1" applyBorder="1"/>
    <xf numFmtId="3" fontId="8" fillId="0" borderId="90" xfId="0" applyNumberFormat="1" applyFont="1" applyBorder="1"/>
    <xf numFmtId="166" fontId="8" fillId="0" borderId="93" xfId="0" applyNumberFormat="1" applyFont="1" applyBorder="1"/>
    <xf numFmtId="3" fontId="8" fillId="0" borderId="92" xfId="0" applyNumberFormat="1" applyFont="1" applyBorder="1"/>
    <xf numFmtId="0" fontId="9" fillId="0" borderId="94" xfId="0" applyFont="1" applyBorder="1"/>
    <xf numFmtId="0" fontId="9" fillId="0" borderId="95" xfId="0" applyFont="1" applyBorder="1"/>
    <xf numFmtId="3" fontId="8" fillId="0" borderId="96" xfId="0" applyNumberFormat="1" applyFont="1" applyBorder="1"/>
    <xf numFmtId="0" fontId="9" fillId="0" borderId="97" xfId="0" applyFont="1" applyBorder="1"/>
    <xf numFmtId="0" fontId="9" fillId="0" borderId="96" xfId="0" applyFont="1" applyBorder="1"/>
    <xf numFmtId="3" fontId="8" fillId="4" borderId="90" xfId="0" applyNumberFormat="1" applyFont="1" applyFill="1" applyBorder="1"/>
    <xf numFmtId="3" fontId="8" fillId="4" borderId="92" xfId="0" applyNumberFormat="1" applyFont="1" applyFill="1" applyBorder="1"/>
    <xf numFmtId="0" fontId="8" fillId="0" borderId="87" xfId="0" applyFont="1" applyBorder="1"/>
    <xf numFmtId="0" fontId="9" fillId="0" borderId="86" xfId="0" applyFont="1" applyBorder="1"/>
    <xf numFmtId="3" fontId="8" fillId="0" borderId="88" xfId="0" applyNumberFormat="1" applyFont="1" applyBorder="1"/>
    <xf numFmtId="0" fontId="8" fillId="0" borderId="91" xfId="0" applyFont="1" applyBorder="1"/>
    <xf numFmtId="0" fontId="9" fillId="0" borderId="90" xfId="0" applyFont="1" applyBorder="1"/>
    <xf numFmtId="0" fontId="8" fillId="4" borderId="86" xfId="0" applyFont="1" applyFill="1" applyBorder="1" applyAlignment="1">
      <alignment horizontal="center"/>
    </xf>
    <xf numFmtId="166" fontId="8" fillId="0" borderId="89" xfId="0" applyNumberFormat="1" applyFont="1" applyFill="1" applyBorder="1"/>
    <xf numFmtId="3" fontId="8" fillId="5" borderId="90" xfId="0" applyNumberFormat="1" applyFont="1" applyFill="1" applyBorder="1"/>
    <xf numFmtId="0" fontId="3" fillId="0" borderId="0" xfId="0" applyFont="1"/>
    <xf numFmtId="44" fontId="0" fillId="0" borderId="0" xfId="0" applyNumberFormat="1"/>
    <xf numFmtId="0" fontId="0" fillId="6" borderId="0" xfId="0" applyFill="1"/>
    <xf numFmtId="0" fontId="0" fillId="6" borderId="0" xfId="0" applyFill="1" applyBorder="1"/>
    <xf numFmtId="0" fontId="0" fillId="0" borderId="25" xfId="0" applyBorder="1"/>
    <xf numFmtId="0" fontId="0" fillId="0" borderId="52" xfId="0" applyBorder="1"/>
    <xf numFmtId="0" fontId="0" fillId="0" borderId="53" xfId="0" applyBorder="1"/>
    <xf numFmtId="0" fontId="0" fillId="0" borderId="56" xfId="0" applyBorder="1"/>
    <xf numFmtId="0" fontId="0" fillId="7" borderId="0" xfId="0" applyFill="1" applyBorder="1"/>
    <xf numFmtId="0" fontId="29" fillId="0" borderId="0" xfId="0" applyFont="1" applyBorder="1" applyAlignment="1">
      <alignment horizontal="left" vertical="top"/>
    </xf>
    <xf numFmtId="0" fontId="21" fillId="0" borderId="0" xfId="0" applyFont="1"/>
    <xf numFmtId="0" fontId="22" fillId="0" borderId="0" xfId="0" applyFont="1"/>
    <xf numFmtId="0" fontId="23" fillId="0" borderId="0" xfId="0" applyFont="1"/>
    <xf numFmtId="0" fontId="14" fillId="0" borderId="0" xfId="0" applyFont="1"/>
    <xf numFmtId="0" fontId="2" fillId="0" borderId="0" xfId="0" applyFont="1" applyBorder="1"/>
    <xf numFmtId="0" fontId="14" fillId="8" borderId="115" xfId="0" applyFont="1" applyFill="1" applyBorder="1" applyProtection="1">
      <protection locked="0"/>
    </xf>
    <xf numFmtId="0" fontId="14" fillId="0" borderId="0" xfId="0" applyFont="1" applyProtection="1">
      <protection locked="0"/>
    </xf>
    <xf numFmtId="0" fontId="0" fillId="9" borderId="98" xfId="0" applyFill="1" applyBorder="1"/>
    <xf numFmtId="0" fontId="0" fillId="10" borderId="0" xfId="0" applyFill="1" applyBorder="1"/>
    <xf numFmtId="0" fontId="22" fillId="0" borderId="0" xfId="0" applyFont="1" applyAlignment="1">
      <alignment horizontal="left"/>
    </xf>
    <xf numFmtId="44" fontId="1" fillId="0" borderId="0" xfId="0" applyNumberFormat="1" applyFont="1"/>
    <xf numFmtId="0" fontId="22" fillId="0" borderId="0" xfId="0" applyFont="1" applyAlignment="1">
      <alignment horizontal="right"/>
    </xf>
    <xf numFmtId="0" fontId="30" fillId="11" borderId="0" xfId="0" applyFont="1" applyFill="1"/>
    <xf numFmtId="0" fontId="31" fillId="11" borderId="0" xfId="0" applyFont="1" applyFill="1"/>
    <xf numFmtId="0" fontId="30" fillId="11" borderId="0" xfId="0" applyFont="1" applyFill="1" applyAlignment="1">
      <alignment horizontal="right"/>
    </xf>
    <xf numFmtId="0" fontId="0" fillId="12" borderId="0" xfId="0" applyFill="1"/>
    <xf numFmtId="0" fontId="1" fillId="12" borderId="0" xfId="0" applyFont="1" applyFill="1"/>
    <xf numFmtId="44" fontId="0" fillId="12" borderId="0" xfId="0" applyNumberFormat="1" applyFill="1"/>
    <xf numFmtId="0" fontId="1" fillId="13" borderId="0" xfId="0" applyFont="1" applyFill="1"/>
    <xf numFmtId="0" fontId="1" fillId="6" borderId="0" xfId="0" applyFont="1" applyFill="1"/>
    <xf numFmtId="0" fontId="22" fillId="6" borderId="0" xfId="0" applyFont="1" applyFill="1"/>
    <xf numFmtId="0" fontId="32" fillId="6" borderId="0" xfId="0" applyFont="1" applyFill="1"/>
    <xf numFmtId="0" fontId="24" fillId="6" borderId="0" xfId="0" applyFont="1" applyFill="1"/>
    <xf numFmtId="44" fontId="1" fillId="6" borderId="0" xfId="0" applyNumberFormat="1" applyFont="1" applyFill="1"/>
    <xf numFmtId="166" fontId="0" fillId="0" borderId="33" xfId="0" applyNumberFormat="1" applyFont="1" applyBorder="1" applyAlignment="1">
      <alignment horizontal="center"/>
    </xf>
    <xf numFmtId="0" fontId="30" fillId="14" borderId="0" xfId="0" applyFont="1" applyFill="1"/>
    <xf numFmtId="0" fontId="31" fillId="14" borderId="0" xfId="0" applyFont="1" applyFill="1"/>
    <xf numFmtId="44" fontId="30" fillId="14" borderId="0" xfId="0" applyNumberFormat="1" applyFont="1" applyFill="1"/>
    <xf numFmtId="44" fontId="30" fillId="14" borderId="24" xfId="0" applyNumberFormat="1" applyFont="1" applyFill="1" applyBorder="1"/>
    <xf numFmtId="0" fontId="30" fillId="14" borderId="0" xfId="0" applyFont="1" applyFill="1" applyAlignment="1">
      <alignment horizontal="right"/>
    </xf>
    <xf numFmtId="0" fontId="33" fillId="14" borderId="0" xfId="0" applyFont="1" applyFill="1"/>
    <xf numFmtId="44" fontId="33" fillId="14" borderId="0" xfId="0" applyNumberFormat="1" applyFont="1" applyFill="1"/>
    <xf numFmtId="44" fontId="1" fillId="6" borderId="24" xfId="0" applyNumberFormat="1" applyFont="1" applyFill="1" applyBorder="1"/>
    <xf numFmtId="0" fontId="1" fillId="6" borderId="24" xfId="0" applyFont="1" applyFill="1" applyBorder="1"/>
    <xf numFmtId="0" fontId="25" fillId="0" borderId="0" xfId="0" applyFont="1"/>
    <xf numFmtId="0" fontId="34" fillId="15" borderId="99" xfId="0" applyFont="1" applyFill="1" applyBorder="1"/>
    <xf numFmtId="0" fontId="3" fillId="12" borderId="0" xfId="0" applyNumberFormat="1" applyFont="1" applyFill="1" applyAlignment="1">
      <alignment wrapText="1"/>
    </xf>
    <xf numFmtId="0" fontId="35" fillId="14" borderId="0" xfId="0" applyFont="1" applyFill="1"/>
    <xf numFmtId="2" fontId="0" fillId="12" borderId="0" xfId="0" applyNumberFormat="1" applyFill="1"/>
    <xf numFmtId="168" fontId="22" fillId="0" borderId="0" xfId="0" applyNumberFormat="1" applyFont="1" applyAlignment="1">
      <alignment horizontal="left"/>
    </xf>
    <xf numFmtId="169" fontId="22" fillId="0" borderId="0" xfId="0" applyNumberFormat="1" applyFont="1" applyAlignment="1">
      <alignment horizontal="left"/>
    </xf>
    <xf numFmtId="0" fontId="35" fillId="14" borderId="0" xfId="0" applyFont="1" applyFill="1" applyAlignment="1">
      <alignment horizontal="right"/>
    </xf>
    <xf numFmtId="44" fontId="35" fillId="16" borderId="0" xfId="0" applyNumberFormat="1" applyFont="1" applyFill="1"/>
    <xf numFmtId="0" fontId="35" fillId="16" borderId="98" xfId="0" applyFont="1" applyFill="1" applyBorder="1"/>
    <xf numFmtId="0" fontId="30" fillId="14" borderId="84" xfId="0" applyFont="1" applyFill="1" applyBorder="1"/>
    <xf numFmtId="0" fontId="30" fillId="17" borderId="98" xfId="0" applyFont="1" applyFill="1" applyBorder="1"/>
    <xf numFmtId="0" fontId="30" fillId="17" borderId="84" xfId="0" applyFont="1" applyFill="1" applyBorder="1"/>
    <xf numFmtId="0" fontId="22" fillId="17" borderId="84" xfId="0" applyFont="1" applyFill="1" applyBorder="1"/>
    <xf numFmtId="0" fontId="22" fillId="17" borderId="100" xfId="0" applyFont="1" applyFill="1" applyBorder="1"/>
    <xf numFmtId="0" fontId="35" fillId="14" borderId="98" xfId="0" applyFont="1" applyFill="1" applyBorder="1" applyAlignment="1">
      <alignment wrapText="1"/>
    </xf>
    <xf numFmtId="171" fontId="0" fillId="0" borderId="0" xfId="0" applyNumberFormat="1"/>
    <xf numFmtId="171" fontId="0" fillId="0" borderId="74" xfId="0" applyNumberFormat="1" applyBorder="1"/>
    <xf numFmtId="171" fontId="0" fillId="0" borderId="0" xfId="0" applyNumberFormat="1" applyBorder="1"/>
    <xf numFmtId="172" fontId="1" fillId="0" borderId="0" xfId="0" applyNumberFormat="1" applyFont="1"/>
    <xf numFmtId="0" fontId="36" fillId="0" borderId="0" xfId="0" applyFont="1" applyBorder="1"/>
    <xf numFmtId="0" fontId="34" fillId="0" borderId="101" xfId="0" applyFont="1" applyBorder="1"/>
    <xf numFmtId="0" fontId="0" fillId="0" borderId="102" xfId="0" applyBorder="1"/>
    <xf numFmtId="0" fontId="34" fillId="0" borderId="103" xfId="0" applyFont="1" applyBorder="1"/>
    <xf numFmtId="0" fontId="34" fillId="0" borderId="104" xfId="0" applyFont="1" applyBorder="1"/>
    <xf numFmtId="0" fontId="0" fillId="0" borderId="105" xfId="0" applyBorder="1"/>
    <xf numFmtId="174" fontId="0" fillId="0" borderId="106" xfId="0" applyNumberFormat="1" applyBorder="1"/>
    <xf numFmtId="174" fontId="0" fillId="0" borderId="107" xfId="0" applyNumberFormat="1" applyBorder="1"/>
    <xf numFmtId="174" fontId="0" fillId="0" borderId="108" xfId="0" applyNumberFormat="1" applyBorder="1"/>
    <xf numFmtId="174" fontId="1" fillId="0" borderId="0" xfId="0" applyNumberFormat="1" applyFont="1"/>
    <xf numFmtId="0" fontId="37" fillId="0" borderId="102" xfId="0" applyFont="1" applyBorder="1"/>
    <xf numFmtId="0" fontId="37" fillId="0" borderId="109" xfId="0" applyFont="1" applyBorder="1"/>
    <xf numFmtId="0" fontId="37" fillId="0" borderId="105" xfId="0" applyFont="1" applyBorder="1"/>
    <xf numFmtId="0" fontId="34" fillId="0" borderId="110" xfId="0" applyFont="1" applyFill="1" applyBorder="1"/>
    <xf numFmtId="174" fontId="0" fillId="0" borderId="111" xfId="0" applyNumberFormat="1" applyBorder="1"/>
    <xf numFmtId="174" fontId="0" fillId="0" borderId="112" xfId="0" applyNumberFormat="1" applyBorder="1"/>
    <xf numFmtId="0" fontId="36" fillId="0" borderId="0" xfId="0" applyFont="1" applyFill="1" applyBorder="1"/>
    <xf numFmtId="0" fontId="8" fillId="5" borderId="86" xfId="0" applyFont="1" applyFill="1" applyBorder="1"/>
    <xf numFmtId="0" fontId="26" fillId="0" borderId="0" xfId="0" applyFont="1"/>
    <xf numFmtId="0" fontId="27" fillId="0" borderId="0" xfId="0" applyFont="1"/>
    <xf numFmtId="172" fontId="0" fillId="0" borderId="111" xfId="0" applyNumberFormat="1" applyBorder="1"/>
    <xf numFmtId="0" fontId="0" fillId="17" borderId="99" xfId="0" applyFill="1" applyBorder="1"/>
    <xf numFmtId="172" fontId="0" fillId="0" borderId="102" xfId="0" applyNumberFormat="1" applyBorder="1"/>
    <xf numFmtId="172" fontId="0" fillId="0" borderId="109" xfId="0" applyNumberFormat="1" applyBorder="1"/>
    <xf numFmtId="172" fontId="0" fillId="0" borderId="105" xfId="0" applyNumberFormat="1" applyBorder="1"/>
    <xf numFmtId="170" fontId="30" fillId="17" borderId="84" xfId="0" applyNumberFormat="1" applyFont="1" applyFill="1" applyBorder="1" applyProtection="1">
      <protection locked="0"/>
    </xf>
    <xf numFmtId="44" fontId="30" fillId="17" borderId="100" xfId="0" applyNumberFormat="1" applyFont="1" applyFill="1" applyBorder="1" applyProtection="1">
      <protection locked="0"/>
    </xf>
    <xf numFmtId="44" fontId="30" fillId="17" borderId="98" xfId="0" applyNumberFormat="1" applyFont="1" applyFill="1" applyBorder="1" applyProtection="1">
      <protection locked="0"/>
    </xf>
    <xf numFmtId="44" fontId="30" fillId="17" borderId="84" xfId="0" applyNumberFormat="1" applyFont="1" applyFill="1" applyBorder="1" applyProtection="1">
      <protection locked="0"/>
    </xf>
    <xf numFmtId="0" fontId="30" fillId="17" borderId="98" xfId="0" applyFont="1" applyFill="1" applyBorder="1" applyProtection="1">
      <protection locked="0"/>
    </xf>
    <xf numFmtId="0" fontId="30" fillId="17" borderId="113" xfId="0" applyFont="1" applyFill="1" applyBorder="1" applyProtection="1">
      <protection locked="0"/>
    </xf>
    <xf numFmtId="0" fontId="30" fillId="17" borderId="84" xfId="0" applyFont="1" applyFill="1" applyBorder="1" applyProtection="1">
      <protection locked="0"/>
    </xf>
    <xf numFmtId="0" fontId="30" fillId="17" borderId="13" xfId="0" applyFont="1" applyFill="1" applyBorder="1" applyProtection="1">
      <protection locked="0"/>
    </xf>
    <xf numFmtId="0" fontId="30" fillId="17" borderId="100" xfId="0" applyFont="1" applyFill="1" applyBorder="1" applyProtection="1">
      <protection locked="0"/>
    </xf>
    <xf numFmtId="0" fontId="30" fillId="17" borderId="114" xfId="0" applyFont="1" applyFill="1" applyBorder="1" applyProtection="1">
      <protection locked="0"/>
    </xf>
    <xf numFmtId="175" fontId="1" fillId="17" borderId="84" xfId="0" applyNumberFormat="1" applyFont="1" applyFill="1" applyBorder="1" applyProtection="1">
      <protection locked="0"/>
    </xf>
    <xf numFmtId="172" fontId="1" fillId="17" borderId="84" xfId="0" applyNumberFormat="1" applyFont="1" applyFill="1" applyBorder="1" applyProtection="1">
      <protection locked="0"/>
    </xf>
    <xf numFmtId="173" fontId="1" fillId="17" borderId="100" xfId="0" applyNumberFormat="1" applyFont="1" applyFill="1" applyBorder="1" applyProtection="1">
      <protection locked="0"/>
    </xf>
    <xf numFmtId="0" fontId="13" fillId="0" borderId="0" xfId="0" applyFont="1"/>
    <xf numFmtId="0" fontId="4" fillId="0" borderId="0" xfId="0" applyFont="1"/>
    <xf numFmtId="176" fontId="14" fillId="18" borderId="99" xfId="0" applyNumberFormat="1" applyFont="1" applyFill="1" applyBorder="1" applyProtection="1">
      <protection locked="0"/>
    </xf>
    <xf numFmtId="0" fontId="0" fillId="19" borderId="0" xfId="0" applyFill="1"/>
    <xf numFmtId="0" fontId="0" fillId="19" borderId="0" xfId="0" applyFill="1" applyAlignment="1">
      <alignment horizontal="left"/>
    </xf>
    <xf numFmtId="0" fontId="8" fillId="19" borderId="90" xfId="0" applyFont="1" applyFill="1" applyBorder="1" applyAlignment="1">
      <alignment horizontal="center"/>
    </xf>
    <xf numFmtId="0" fontId="4" fillId="13" borderId="0" xfId="0" applyFont="1" applyFill="1"/>
    <xf numFmtId="10" fontId="4" fillId="13" borderId="0" xfId="0" applyNumberFormat="1" applyFont="1" applyFill="1"/>
    <xf numFmtId="0" fontId="4" fillId="0" borderId="0" xfId="0" applyFont="1" applyAlignment="1">
      <alignment wrapText="1"/>
    </xf>
    <xf numFmtId="2" fontId="0" fillId="0" borderId="0" xfId="0" applyNumberFormat="1"/>
    <xf numFmtId="1" fontId="0" fillId="0" borderId="0" xfId="0" applyNumberFormat="1"/>
    <xf numFmtId="0" fontId="3" fillId="20" borderId="0" xfId="0" applyNumberFormat="1" applyFont="1" applyFill="1" applyAlignment="1">
      <alignment wrapText="1"/>
    </xf>
    <xf numFmtId="0" fontId="4" fillId="20" borderId="0" xfId="0" applyFont="1" applyFill="1"/>
    <xf numFmtId="1" fontId="0" fillId="20" borderId="0" xfId="0" applyNumberFormat="1" applyFill="1"/>
    <xf numFmtId="0" fontId="13" fillId="0" borderId="0" xfId="0" applyFont="1" applyAlignment="1">
      <alignment horizontal="right"/>
    </xf>
    <xf numFmtId="176" fontId="4" fillId="0" borderId="0" xfId="0" applyNumberFormat="1" applyFont="1"/>
    <xf numFmtId="177" fontId="14" fillId="20" borderId="99" xfId="0" applyNumberFormat="1" applyFont="1" applyFill="1" applyBorder="1" applyAlignment="1">
      <alignment horizontal="right"/>
    </xf>
    <xf numFmtId="42" fontId="14" fillId="20" borderId="99" xfId="0" applyNumberFormat="1" applyFont="1" applyFill="1" applyBorder="1"/>
    <xf numFmtId="0" fontId="14" fillId="18" borderId="99" xfId="0" applyNumberFormat="1" applyFont="1" applyFill="1" applyBorder="1" applyProtection="1">
      <protection locked="0"/>
    </xf>
    <xf numFmtId="0" fontId="31" fillId="11" borderId="0" xfId="0" applyNumberFormat="1" applyFont="1" applyFill="1" applyAlignment="1">
      <alignment horizontal="center" wrapText="1"/>
    </xf>
  </cellXfs>
  <cellStyles count="1">
    <cellStyle name="Stand." xfId="0" builtinId="0"/>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theme="0"/>
        </patternFill>
      </fill>
      <border>
        <left/>
        <right/>
        <top/>
        <bottom/>
      </border>
    </dxf>
    <dxf>
      <font>
        <color theme="0"/>
      </font>
      <fill>
        <patternFill>
          <bgColor theme="0"/>
        </patternFill>
      </fill>
      <border>
        <left/>
        <right/>
        <top/>
        <bottom/>
      </border>
    </dxf>
    <dxf>
      <font>
        <color auto="1"/>
      </font>
      <fill>
        <patternFill patternType="solid">
          <bgColor theme="5" tint="0.39994506668294322"/>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dxf>
    <dxf>
      <font>
        <color theme="0"/>
      </font>
      <fill>
        <patternFill patternType="none">
          <bgColor indexed="65"/>
        </patternFill>
      </fill>
      <border>
        <left/>
        <right/>
        <top/>
        <bottom/>
      </border>
    </dxf>
    <dxf>
      <font>
        <color rgb="FF9C0006"/>
      </font>
      <fill>
        <patternFill>
          <bgColor theme="0"/>
        </patternFill>
      </fill>
      <border>
        <left/>
        <right/>
        <top/>
        <bottom/>
      </border>
    </dxf>
    <dxf>
      <font>
        <color theme="0"/>
      </font>
      <fill>
        <patternFill>
          <bgColor theme="0"/>
        </patternFill>
      </fill>
      <border>
        <left/>
        <right/>
        <top/>
        <bottom/>
      </border>
    </dxf>
  </dxfs>
  <tableStyles count="0" defaultTableStyle="TableStyleMedium9" defaultPivotStyle="PivotStyleMedium7"/>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3" Type="http://schemas.openxmlformats.org/officeDocument/2006/relationships/image" Target="../media/image4.jpeg"/><Relationship Id="rId7" Type="http://schemas.openxmlformats.org/officeDocument/2006/relationships/image" Target="../media/image8.png"/><Relationship Id="rId12" Type="http://schemas.openxmlformats.org/officeDocument/2006/relationships/image" Target="../media/image13.jpeg"/><Relationship Id="rId2" Type="http://schemas.openxmlformats.org/officeDocument/2006/relationships/image" Target="../media/image3.png"/><Relationship Id="rId16" Type="http://schemas.openxmlformats.org/officeDocument/2006/relationships/image" Target="../media/image17.png"/><Relationship Id="rId1" Type="http://schemas.openxmlformats.org/officeDocument/2006/relationships/image" Target="../media/image2.png"/><Relationship Id="rId6" Type="http://schemas.openxmlformats.org/officeDocument/2006/relationships/image" Target="../media/image7.jpeg"/><Relationship Id="rId11" Type="http://schemas.openxmlformats.org/officeDocument/2006/relationships/image" Target="../media/image12.jpeg"/><Relationship Id="rId5" Type="http://schemas.openxmlformats.org/officeDocument/2006/relationships/image" Target="../media/image6.jpeg"/><Relationship Id="rId15" Type="http://schemas.openxmlformats.org/officeDocument/2006/relationships/image" Target="../media/image16.png"/><Relationship Id="rId10" Type="http://schemas.openxmlformats.org/officeDocument/2006/relationships/image" Target="../media/image11.jpeg"/><Relationship Id="rId4" Type="http://schemas.openxmlformats.org/officeDocument/2006/relationships/image" Target="../media/image5.jpeg"/><Relationship Id="rId9" Type="http://schemas.openxmlformats.org/officeDocument/2006/relationships/image" Target="../media/image10.png"/><Relationship Id="rId14" Type="http://schemas.openxmlformats.org/officeDocument/2006/relationships/image" Target="../media/image1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8.png"/></Relationships>
</file>

<file path=xl/drawings/_rels/drawing5.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8</xdr:col>
      <xdr:colOff>292100</xdr:colOff>
      <xdr:row>3</xdr:row>
      <xdr:rowOff>76200</xdr:rowOff>
    </xdr:from>
    <xdr:to>
      <xdr:col>9</xdr:col>
      <xdr:colOff>673100</xdr:colOff>
      <xdr:row>7</xdr:row>
      <xdr:rowOff>63500</xdr:rowOff>
    </xdr:to>
    <xdr:sp macro="" textlink="">
      <xdr:nvSpPr>
        <xdr:cNvPr id="2" name="Tekstvak 1">
          <a:extLst>
            <a:ext uri="{FF2B5EF4-FFF2-40B4-BE49-F238E27FC236}">
              <a16:creationId xmlns:a16="http://schemas.microsoft.com/office/drawing/2014/main" id="{1D7095CF-C871-C949-9421-408E11119332}"/>
            </a:ext>
          </a:extLst>
        </xdr:cNvPr>
        <xdr:cNvSpPr txBox="1"/>
      </xdr:nvSpPr>
      <xdr:spPr>
        <a:xfrm>
          <a:off x="9994900" y="736600"/>
          <a:ext cx="1346200" cy="736600"/>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a:p>
      </xdr:txBody>
    </xdr:sp>
    <xdr:clientData/>
  </xdr:twoCellAnchor>
  <xdr:twoCellAnchor editAs="oneCell">
    <xdr:from>
      <xdr:col>8</xdr:col>
      <xdr:colOff>381000</xdr:colOff>
      <xdr:row>3</xdr:row>
      <xdr:rowOff>114300</xdr:rowOff>
    </xdr:from>
    <xdr:to>
      <xdr:col>9</xdr:col>
      <xdr:colOff>596900</xdr:colOff>
      <xdr:row>7</xdr:row>
      <xdr:rowOff>25400</xdr:rowOff>
    </xdr:to>
    <xdr:pic>
      <xdr:nvPicPr>
        <xdr:cNvPr id="6488" name="Afbeelding 3">
          <a:extLst>
            <a:ext uri="{FF2B5EF4-FFF2-40B4-BE49-F238E27FC236}">
              <a16:creationId xmlns:a16="http://schemas.microsoft.com/office/drawing/2014/main" id="{6549FCD8-2820-C840-A7DF-6629C07037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83800" y="774700"/>
          <a:ext cx="1181100"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292100</xdr:colOff>
      <xdr:row>3</xdr:row>
      <xdr:rowOff>76200</xdr:rowOff>
    </xdr:from>
    <xdr:to>
      <xdr:col>9</xdr:col>
      <xdr:colOff>673100</xdr:colOff>
      <xdr:row>7</xdr:row>
      <xdr:rowOff>63500</xdr:rowOff>
    </xdr:to>
    <xdr:sp macro="" textlink="">
      <xdr:nvSpPr>
        <xdr:cNvPr id="3" name="Tekstvak 2">
          <a:extLst>
            <a:ext uri="{FF2B5EF4-FFF2-40B4-BE49-F238E27FC236}">
              <a16:creationId xmlns:a16="http://schemas.microsoft.com/office/drawing/2014/main" id="{A9DE6BE8-4D7C-7543-BD48-BBF8214EB3A8}"/>
            </a:ext>
          </a:extLst>
        </xdr:cNvPr>
        <xdr:cNvSpPr txBox="1"/>
      </xdr:nvSpPr>
      <xdr:spPr>
        <a:xfrm>
          <a:off x="9994900" y="736600"/>
          <a:ext cx="1346200" cy="736600"/>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a:p>
      </xdr:txBody>
    </xdr:sp>
    <xdr:clientData/>
  </xdr:twoCellAnchor>
  <xdr:twoCellAnchor editAs="oneCell">
    <xdr:from>
      <xdr:col>8</xdr:col>
      <xdr:colOff>381000</xdr:colOff>
      <xdr:row>3</xdr:row>
      <xdr:rowOff>114300</xdr:rowOff>
    </xdr:from>
    <xdr:to>
      <xdr:col>9</xdr:col>
      <xdr:colOff>596900</xdr:colOff>
      <xdr:row>7</xdr:row>
      <xdr:rowOff>25400</xdr:rowOff>
    </xdr:to>
    <xdr:pic>
      <xdr:nvPicPr>
        <xdr:cNvPr id="3503" name="Afbeelding 3">
          <a:extLst>
            <a:ext uri="{FF2B5EF4-FFF2-40B4-BE49-F238E27FC236}">
              <a16:creationId xmlns:a16="http://schemas.microsoft.com/office/drawing/2014/main" id="{6F300BFB-29DF-7340-A639-FC01C7B68A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83800" y="774700"/>
          <a:ext cx="1181100"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952955</xdr:colOff>
      <xdr:row>2</xdr:row>
      <xdr:rowOff>266811</xdr:rowOff>
    </xdr:from>
    <xdr:to>
      <xdr:col>5</xdr:col>
      <xdr:colOff>46870</xdr:colOff>
      <xdr:row>5</xdr:row>
      <xdr:rowOff>957932</xdr:rowOff>
    </xdr:to>
    <xdr:sp macro="" textlink="">
      <xdr:nvSpPr>
        <xdr:cNvPr id="3" name="Driehoek 2">
          <a:extLst>
            <a:ext uri="{FF2B5EF4-FFF2-40B4-BE49-F238E27FC236}">
              <a16:creationId xmlns:a16="http://schemas.microsoft.com/office/drawing/2014/main" id="{6144BFFF-D24C-CE40-9440-F6075144832D}"/>
            </a:ext>
          </a:extLst>
        </xdr:cNvPr>
        <xdr:cNvSpPr/>
      </xdr:nvSpPr>
      <xdr:spPr>
        <a:xfrm rot="2565126">
          <a:off x="2286455" y="622411"/>
          <a:ext cx="2357815" cy="1338821"/>
        </a:xfrm>
        <a:prstGeom prst="triangle">
          <a:avLst>
            <a:gd name="adj" fmla="val 45138"/>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nl-NL"/>
        </a:p>
      </xdr:txBody>
    </xdr:sp>
    <xdr:clientData/>
  </xdr:twoCellAnchor>
  <xdr:twoCellAnchor>
    <xdr:from>
      <xdr:col>2</xdr:col>
      <xdr:colOff>269651</xdr:colOff>
      <xdr:row>0</xdr:row>
      <xdr:rowOff>0</xdr:rowOff>
    </xdr:from>
    <xdr:to>
      <xdr:col>3</xdr:col>
      <xdr:colOff>738263</xdr:colOff>
      <xdr:row>6</xdr:row>
      <xdr:rowOff>216005</xdr:rowOff>
    </xdr:to>
    <xdr:sp macro="" textlink="">
      <xdr:nvSpPr>
        <xdr:cNvPr id="4" name="Driehoek 3">
          <a:extLst>
            <a:ext uri="{FF2B5EF4-FFF2-40B4-BE49-F238E27FC236}">
              <a16:creationId xmlns:a16="http://schemas.microsoft.com/office/drawing/2014/main" id="{41F513D4-7708-B64B-8E6D-030D49002D7E}"/>
            </a:ext>
          </a:extLst>
        </xdr:cNvPr>
        <xdr:cNvSpPr/>
      </xdr:nvSpPr>
      <xdr:spPr>
        <a:xfrm rot="18897055">
          <a:off x="817576" y="854118"/>
          <a:ext cx="2268362" cy="849612"/>
        </a:xfrm>
        <a:prstGeom prst="triangle">
          <a:avLst>
            <a:gd name="adj" fmla="val 37869"/>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nl-NL"/>
        </a:p>
      </xdr:txBody>
    </xdr:sp>
    <xdr:clientData/>
  </xdr:twoCellAnchor>
  <xdr:twoCellAnchor>
    <xdr:from>
      <xdr:col>1</xdr:col>
      <xdr:colOff>203200</xdr:colOff>
      <xdr:row>8</xdr:row>
      <xdr:rowOff>38100</xdr:rowOff>
    </xdr:from>
    <xdr:to>
      <xdr:col>7</xdr:col>
      <xdr:colOff>774700</xdr:colOff>
      <xdr:row>8</xdr:row>
      <xdr:rowOff>38100</xdr:rowOff>
    </xdr:to>
    <xdr:cxnSp macro="">
      <xdr:nvCxnSpPr>
        <xdr:cNvPr id="6" name="Rechte verbindingslijn 5">
          <a:extLst>
            <a:ext uri="{FF2B5EF4-FFF2-40B4-BE49-F238E27FC236}">
              <a16:creationId xmlns:a16="http://schemas.microsoft.com/office/drawing/2014/main" id="{FAE06588-BFF8-DD43-A85A-3B893BD30AFA}"/>
            </a:ext>
          </a:extLst>
        </xdr:cNvPr>
        <xdr:cNvCxnSpPr/>
      </xdr:nvCxnSpPr>
      <xdr:spPr>
        <a:xfrm>
          <a:off x="406400" y="3644900"/>
          <a:ext cx="6616700" cy="0"/>
        </a:xfrm>
        <a:prstGeom prst="line">
          <a:avLst/>
        </a:prstGeom>
        <a:ln w="22225" cmpd="thinThick">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572836</xdr:colOff>
      <xdr:row>2</xdr:row>
      <xdr:rowOff>20276</xdr:rowOff>
    </xdr:from>
    <xdr:to>
      <xdr:col>4</xdr:col>
      <xdr:colOff>323069</xdr:colOff>
      <xdr:row>3</xdr:row>
      <xdr:rowOff>189334</xdr:rowOff>
    </xdr:to>
    <xdr:pic>
      <xdr:nvPicPr>
        <xdr:cNvPr id="13675" name="Afbeelding 7">
          <a:extLst>
            <a:ext uri="{FF2B5EF4-FFF2-40B4-BE49-F238E27FC236}">
              <a16:creationId xmlns:a16="http://schemas.microsoft.com/office/drawing/2014/main" id="{6E6225C8-253E-D44D-81E9-FBAD53B55D0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362" y="376767"/>
          <a:ext cx="2836111" cy="514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38100</xdr:colOff>
      <xdr:row>6</xdr:row>
      <xdr:rowOff>660400</xdr:rowOff>
    </xdr:from>
    <xdr:to>
      <xdr:col>7</xdr:col>
      <xdr:colOff>901700</xdr:colOff>
      <xdr:row>8</xdr:row>
      <xdr:rowOff>25400</xdr:rowOff>
    </xdr:to>
    <xdr:pic>
      <xdr:nvPicPr>
        <xdr:cNvPr id="13676" name="Afbeelding 9">
          <a:extLst>
            <a:ext uri="{FF2B5EF4-FFF2-40B4-BE49-F238E27FC236}">
              <a16:creationId xmlns:a16="http://schemas.microsoft.com/office/drawing/2014/main" id="{2753258B-1B4A-EF4C-913B-BB9476B9473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7600" y="2717800"/>
          <a:ext cx="8636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12700</xdr:colOff>
      <xdr:row>0</xdr:row>
      <xdr:rowOff>177800</xdr:rowOff>
    </xdr:from>
    <xdr:to>
      <xdr:col>15</xdr:col>
      <xdr:colOff>0</xdr:colOff>
      <xdr:row>3</xdr:row>
      <xdr:rowOff>114300</xdr:rowOff>
    </xdr:to>
    <xdr:pic>
      <xdr:nvPicPr>
        <xdr:cNvPr id="13677" name="Afbeelding 12">
          <a:extLst>
            <a:ext uri="{FF2B5EF4-FFF2-40B4-BE49-F238E27FC236}">
              <a16:creationId xmlns:a16="http://schemas.microsoft.com/office/drawing/2014/main" id="{0867D013-0BF3-7D41-A1EE-141A34F52E1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22939" t="2" r="9633" b="-1239"/>
        <a:stretch>
          <a:fillRect/>
        </a:stretch>
      </xdr:blipFill>
      <xdr:spPr bwMode="auto">
        <a:xfrm>
          <a:off x="15773400" y="177800"/>
          <a:ext cx="673100" cy="63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368300</xdr:colOff>
      <xdr:row>6</xdr:row>
      <xdr:rowOff>190500</xdr:rowOff>
    </xdr:from>
    <xdr:to>
      <xdr:col>3</xdr:col>
      <xdr:colOff>736600</xdr:colOff>
      <xdr:row>6</xdr:row>
      <xdr:rowOff>622300</xdr:rowOff>
    </xdr:to>
    <xdr:sp macro="" textlink="">
      <xdr:nvSpPr>
        <xdr:cNvPr id="14" name="Rechthoek 13">
          <a:extLst>
            <a:ext uri="{FF2B5EF4-FFF2-40B4-BE49-F238E27FC236}">
              <a16:creationId xmlns:a16="http://schemas.microsoft.com/office/drawing/2014/main" id="{2D744978-6B5C-A644-ACAA-46F40A804F9D}"/>
            </a:ext>
          </a:extLst>
        </xdr:cNvPr>
        <xdr:cNvSpPr/>
      </xdr:nvSpPr>
      <xdr:spPr>
        <a:xfrm>
          <a:off x="1701800" y="2247900"/>
          <a:ext cx="368300" cy="4318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nl-NL"/>
        </a:p>
      </xdr:txBody>
    </xdr:sp>
    <xdr:clientData/>
  </xdr:twoCellAnchor>
  <xdr:twoCellAnchor>
    <xdr:from>
      <xdr:col>3</xdr:col>
      <xdr:colOff>1270000</xdr:colOff>
      <xdr:row>6</xdr:row>
      <xdr:rowOff>203200</xdr:rowOff>
    </xdr:from>
    <xdr:to>
      <xdr:col>3</xdr:col>
      <xdr:colOff>1638300</xdr:colOff>
      <xdr:row>6</xdr:row>
      <xdr:rowOff>635000</xdr:rowOff>
    </xdr:to>
    <xdr:sp macro="" textlink="">
      <xdr:nvSpPr>
        <xdr:cNvPr id="15" name="Rechthoek 14">
          <a:extLst>
            <a:ext uri="{FF2B5EF4-FFF2-40B4-BE49-F238E27FC236}">
              <a16:creationId xmlns:a16="http://schemas.microsoft.com/office/drawing/2014/main" id="{DC0B70D6-1D0D-8441-9539-D71B804FC729}"/>
            </a:ext>
          </a:extLst>
        </xdr:cNvPr>
        <xdr:cNvSpPr/>
      </xdr:nvSpPr>
      <xdr:spPr>
        <a:xfrm>
          <a:off x="2603500" y="2260600"/>
          <a:ext cx="368300" cy="4318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nl-NL"/>
        </a:p>
      </xdr:txBody>
    </xdr:sp>
    <xdr:clientData/>
  </xdr:twoCellAnchor>
  <xdr:twoCellAnchor>
    <xdr:from>
      <xdr:col>4</xdr:col>
      <xdr:colOff>381000</xdr:colOff>
      <xdr:row>7</xdr:row>
      <xdr:rowOff>190500</xdr:rowOff>
    </xdr:from>
    <xdr:to>
      <xdr:col>4</xdr:col>
      <xdr:colOff>800100</xdr:colOff>
      <xdr:row>7</xdr:row>
      <xdr:rowOff>393700</xdr:rowOff>
    </xdr:to>
    <xdr:sp macro="" textlink="">
      <xdr:nvSpPr>
        <xdr:cNvPr id="16" name="Rechthoek 15">
          <a:extLst>
            <a:ext uri="{FF2B5EF4-FFF2-40B4-BE49-F238E27FC236}">
              <a16:creationId xmlns:a16="http://schemas.microsoft.com/office/drawing/2014/main" id="{CCF23B36-E03D-114D-88C4-C7E58D199A8E}"/>
            </a:ext>
          </a:extLst>
        </xdr:cNvPr>
        <xdr:cNvSpPr/>
      </xdr:nvSpPr>
      <xdr:spPr>
        <a:xfrm>
          <a:off x="3759200" y="3035300"/>
          <a:ext cx="419100" cy="2032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nl-NL"/>
        </a:p>
      </xdr:txBody>
    </xdr:sp>
    <xdr:clientData/>
  </xdr:twoCellAnchor>
  <xdr:twoCellAnchor>
    <xdr:from>
      <xdr:col>2</xdr:col>
      <xdr:colOff>203200</xdr:colOff>
      <xdr:row>7</xdr:row>
      <xdr:rowOff>63500</xdr:rowOff>
    </xdr:from>
    <xdr:to>
      <xdr:col>2</xdr:col>
      <xdr:colOff>330200</xdr:colOff>
      <xdr:row>7</xdr:row>
      <xdr:rowOff>723900</xdr:rowOff>
    </xdr:to>
    <xdr:sp macro="" textlink="">
      <xdr:nvSpPr>
        <xdr:cNvPr id="17" name="Rechthoek 16">
          <a:extLst>
            <a:ext uri="{FF2B5EF4-FFF2-40B4-BE49-F238E27FC236}">
              <a16:creationId xmlns:a16="http://schemas.microsoft.com/office/drawing/2014/main" id="{6823CA66-2F01-4344-9DF4-C4CAA9BE4293}"/>
            </a:ext>
          </a:extLst>
        </xdr:cNvPr>
        <xdr:cNvSpPr/>
      </xdr:nvSpPr>
      <xdr:spPr>
        <a:xfrm>
          <a:off x="1155700" y="2908300"/>
          <a:ext cx="127000" cy="6604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nl-NL"/>
        </a:p>
      </xdr:txBody>
    </xdr:sp>
    <xdr:clientData/>
  </xdr:twoCellAnchor>
  <xdr:twoCellAnchor>
    <xdr:from>
      <xdr:col>3</xdr:col>
      <xdr:colOff>368300</xdr:colOff>
      <xdr:row>7</xdr:row>
      <xdr:rowOff>76200</xdr:rowOff>
    </xdr:from>
    <xdr:to>
      <xdr:col>3</xdr:col>
      <xdr:colOff>723900</xdr:colOff>
      <xdr:row>7</xdr:row>
      <xdr:rowOff>571500</xdr:rowOff>
    </xdr:to>
    <xdr:sp macro="" textlink="">
      <xdr:nvSpPr>
        <xdr:cNvPr id="18" name="Rechthoek 17">
          <a:extLst>
            <a:ext uri="{FF2B5EF4-FFF2-40B4-BE49-F238E27FC236}">
              <a16:creationId xmlns:a16="http://schemas.microsoft.com/office/drawing/2014/main" id="{7E9E627A-F8A2-4C41-9E4B-336DAD23EF6D}"/>
            </a:ext>
          </a:extLst>
        </xdr:cNvPr>
        <xdr:cNvSpPr/>
      </xdr:nvSpPr>
      <xdr:spPr>
        <a:xfrm>
          <a:off x="1701800" y="2921000"/>
          <a:ext cx="355600" cy="4953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nl-NL" sz="1100">
              <a:solidFill>
                <a:schemeClr val="lt1"/>
              </a:solidFill>
              <a:latin typeface="+mn-lt"/>
              <a:ea typeface="+mn-ea"/>
              <a:cs typeface="+mn-cs"/>
            </a:rPr>
            <a:t>√</a:t>
          </a:r>
        </a:p>
      </xdr:txBody>
    </xdr:sp>
    <xdr:clientData/>
  </xdr:twoCellAnchor>
  <xdr:twoCellAnchor>
    <xdr:from>
      <xdr:col>3</xdr:col>
      <xdr:colOff>1282700</xdr:colOff>
      <xdr:row>7</xdr:row>
      <xdr:rowOff>88900</xdr:rowOff>
    </xdr:from>
    <xdr:to>
      <xdr:col>3</xdr:col>
      <xdr:colOff>1638300</xdr:colOff>
      <xdr:row>7</xdr:row>
      <xdr:rowOff>584200</xdr:rowOff>
    </xdr:to>
    <xdr:sp macro="" textlink="">
      <xdr:nvSpPr>
        <xdr:cNvPr id="19" name="Rechthoek 18">
          <a:extLst>
            <a:ext uri="{FF2B5EF4-FFF2-40B4-BE49-F238E27FC236}">
              <a16:creationId xmlns:a16="http://schemas.microsoft.com/office/drawing/2014/main" id="{BF94115F-F8B7-3B48-94A2-6E7235A8DF6D}"/>
            </a:ext>
          </a:extLst>
        </xdr:cNvPr>
        <xdr:cNvSpPr/>
      </xdr:nvSpPr>
      <xdr:spPr>
        <a:xfrm>
          <a:off x="2616200" y="2933700"/>
          <a:ext cx="355600" cy="4953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nl-NL" sz="1100">
              <a:solidFill>
                <a:schemeClr val="lt1"/>
              </a:solidFill>
              <a:latin typeface="+mn-lt"/>
              <a:ea typeface="+mn-ea"/>
              <a:cs typeface="+mn-cs"/>
            </a:rPr>
            <a:t>√</a:t>
          </a:r>
        </a:p>
      </xdr:txBody>
    </xdr:sp>
    <xdr:clientData/>
  </xdr:twoCellAnchor>
  <xdr:twoCellAnchor>
    <xdr:from>
      <xdr:col>2</xdr:col>
      <xdr:colOff>38100</xdr:colOff>
      <xdr:row>7</xdr:row>
      <xdr:rowOff>63500</xdr:rowOff>
    </xdr:from>
    <xdr:to>
      <xdr:col>2</xdr:col>
      <xdr:colOff>165100</xdr:colOff>
      <xdr:row>7</xdr:row>
      <xdr:rowOff>723900</xdr:rowOff>
    </xdr:to>
    <xdr:sp macro="" textlink="">
      <xdr:nvSpPr>
        <xdr:cNvPr id="20" name="Rechthoek 19">
          <a:extLst>
            <a:ext uri="{FF2B5EF4-FFF2-40B4-BE49-F238E27FC236}">
              <a16:creationId xmlns:a16="http://schemas.microsoft.com/office/drawing/2014/main" id="{B0A0C42D-62FB-FB45-86A9-90F7C5D67F58}"/>
            </a:ext>
          </a:extLst>
        </xdr:cNvPr>
        <xdr:cNvSpPr/>
      </xdr:nvSpPr>
      <xdr:spPr>
        <a:xfrm>
          <a:off x="990600" y="2908300"/>
          <a:ext cx="127000" cy="6604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nl-NL"/>
        </a:p>
      </xdr:txBody>
    </xdr:sp>
    <xdr:clientData/>
  </xdr:twoCellAnchor>
  <xdr:twoCellAnchor editAs="oneCell">
    <xdr:from>
      <xdr:col>13</xdr:col>
      <xdr:colOff>12700</xdr:colOff>
      <xdr:row>3</xdr:row>
      <xdr:rowOff>190500</xdr:rowOff>
    </xdr:from>
    <xdr:to>
      <xdr:col>15</xdr:col>
      <xdr:colOff>12700</xdr:colOff>
      <xdr:row>5</xdr:row>
      <xdr:rowOff>571500</xdr:rowOff>
    </xdr:to>
    <xdr:pic>
      <xdr:nvPicPr>
        <xdr:cNvPr id="13685" name="Afbeelding 6">
          <a:extLst>
            <a:ext uri="{FF2B5EF4-FFF2-40B4-BE49-F238E27FC236}">
              <a16:creationId xmlns:a16="http://schemas.microsoft.com/office/drawing/2014/main" id="{8D6F24E8-138E-BB47-8BE1-8A648F273BE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5773400" y="889000"/>
          <a:ext cx="6858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12700</xdr:colOff>
      <xdr:row>7</xdr:row>
      <xdr:rowOff>342900</xdr:rowOff>
    </xdr:from>
    <xdr:to>
      <xdr:col>15</xdr:col>
      <xdr:colOff>12700</xdr:colOff>
      <xdr:row>9</xdr:row>
      <xdr:rowOff>0</xdr:rowOff>
    </xdr:to>
    <xdr:pic>
      <xdr:nvPicPr>
        <xdr:cNvPr id="13686" name="Afbeelding 7">
          <a:extLst>
            <a:ext uri="{FF2B5EF4-FFF2-40B4-BE49-F238E27FC236}">
              <a16:creationId xmlns:a16="http://schemas.microsoft.com/office/drawing/2014/main" id="{60B1F401-6031-E949-B275-CA810A28044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7373" r="15643"/>
        <a:stretch>
          <a:fillRect/>
        </a:stretch>
      </xdr:blipFill>
      <xdr:spPr bwMode="auto">
        <a:xfrm>
          <a:off x="15773400" y="3187700"/>
          <a:ext cx="685800"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12700</xdr:colOff>
      <xdr:row>6</xdr:row>
      <xdr:rowOff>406400</xdr:rowOff>
    </xdr:from>
    <xdr:to>
      <xdr:col>15</xdr:col>
      <xdr:colOff>38100</xdr:colOff>
      <xdr:row>7</xdr:row>
      <xdr:rowOff>266700</xdr:rowOff>
    </xdr:to>
    <xdr:pic>
      <xdr:nvPicPr>
        <xdr:cNvPr id="13687" name="Afbeelding 8">
          <a:extLst>
            <a:ext uri="{FF2B5EF4-FFF2-40B4-BE49-F238E27FC236}">
              <a16:creationId xmlns:a16="http://schemas.microsoft.com/office/drawing/2014/main" id="{BC95FD47-89BE-4A43-A53C-A01110BF17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26103" t="31042" r="46823" b="25739"/>
        <a:stretch>
          <a:fillRect/>
        </a:stretch>
      </xdr:blipFill>
      <xdr:spPr bwMode="auto">
        <a:xfrm rot="5400000">
          <a:off x="15805150" y="2432050"/>
          <a:ext cx="647700" cy="71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12700</xdr:colOff>
      <xdr:row>5</xdr:row>
      <xdr:rowOff>660400</xdr:rowOff>
    </xdr:from>
    <xdr:to>
      <xdr:col>15</xdr:col>
      <xdr:colOff>0</xdr:colOff>
      <xdr:row>6</xdr:row>
      <xdr:rowOff>317500</xdr:rowOff>
    </xdr:to>
    <xdr:pic>
      <xdr:nvPicPr>
        <xdr:cNvPr id="13688" name="Afbeelding 9">
          <a:extLst>
            <a:ext uri="{FF2B5EF4-FFF2-40B4-BE49-F238E27FC236}">
              <a16:creationId xmlns:a16="http://schemas.microsoft.com/office/drawing/2014/main" id="{05C84054-5F7E-9447-93DF-743F8F46C70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5773400" y="1663700"/>
          <a:ext cx="673100" cy="71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152400</xdr:colOff>
      <xdr:row>5</xdr:row>
      <xdr:rowOff>355600</xdr:rowOff>
    </xdr:from>
    <xdr:to>
      <xdr:col>9</xdr:col>
      <xdr:colOff>1282700</xdr:colOff>
      <xdr:row>5</xdr:row>
      <xdr:rowOff>876300</xdr:rowOff>
    </xdr:to>
    <xdr:pic>
      <xdr:nvPicPr>
        <xdr:cNvPr id="13689" name="Afbeelding 20">
          <a:extLst>
            <a:ext uri="{FF2B5EF4-FFF2-40B4-BE49-F238E27FC236}">
              <a16:creationId xmlns:a16="http://schemas.microsoft.com/office/drawing/2014/main" id="{6B987396-F0F2-3045-9211-5FBADEE27FB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0871200" y="1358900"/>
          <a:ext cx="1130300" cy="52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889000</xdr:colOff>
      <xdr:row>0</xdr:row>
      <xdr:rowOff>165100</xdr:rowOff>
    </xdr:from>
    <xdr:to>
      <xdr:col>12</xdr:col>
      <xdr:colOff>114300</xdr:colOff>
      <xdr:row>8</xdr:row>
      <xdr:rowOff>241300</xdr:rowOff>
    </xdr:to>
    <xdr:pic>
      <xdr:nvPicPr>
        <xdr:cNvPr id="13690" name="Afbeelding 21">
          <a:extLst>
            <a:ext uri="{FF2B5EF4-FFF2-40B4-BE49-F238E27FC236}">
              <a16:creationId xmlns:a16="http://schemas.microsoft.com/office/drawing/2014/main" id="{AB925BDA-8996-5A4B-9D2D-7804A21032FF}"/>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t="17725"/>
        <a:stretch>
          <a:fillRect/>
        </a:stretch>
      </xdr:blipFill>
      <xdr:spPr bwMode="auto">
        <a:xfrm>
          <a:off x="8420100" y="165100"/>
          <a:ext cx="7264400" cy="368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101600</xdr:colOff>
      <xdr:row>1</xdr:row>
      <xdr:rowOff>25400</xdr:rowOff>
    </xdr:from>
    <xdr:to>
      <xdr:col>8</xdr:col>
      <xdr:colOff>800100</xdr:colOff>
      <xdr:row>3</xdr:row>
      <xdr:rowOff>228600</xdr:rowOff>
    </xdr:to>
    <xdr:pic>
      <xdr:nvPicPr>
        <xdr:cNvPr id="13691" name="Afbeelding 25">
          <a:extLst>
            <a:ext uri="{FF2B5EF4-FFF2-40B4-BE49-F238E27FC236}">
              <a16:creationId xmlns:a16="http://schemas.microsoft.com/office/drawing/2014/main" id="{C64CFD0C-23FC-E744-A839-7C0825A7EF88}"/>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rot="-5400000">
          <a:off x="7620000" y="215900"/>
          <a:ext cx="723900" cy="69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101600</xdr:colOff>
      <xdr:row>4</xdr:row>
      <xdr:rowOff>0</xdr:rowOff>
    </xdr:from>
    <xdr:to>
      <xdr:col>8</xdr:col>
      <xdr:colOff>901700</xdr:colOff>
      <xdr:row>5</xdr:row>
      <xdr:rowOff>596900</xdr:rowOff>
    </xdr:to>
    <xdr:pic>
      <xdr:nvPicPr>
        <xdr:cNvPr id="13692" name="Afbeelding 27">
          <a:extLst>
            <a:ext uri="{FF2B5EF4-FFF2-40B4-BE49-F238E27FC236}">
              <a16:creationId xmlns:a16="http://schemas.microsoft.com/office/drawing/2014/main" id="{BECB8059-63E2-814F-B2B3-E8218614594D}"/>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r="-11092" b="7352"/>
        <a:stretch>
          <a:fillRect/>
        </a:stretch>
      </xdr:blipFill>
      <xdr:spPr bwMode="auto">
        <a:xfrm>
          <a:off x="7632700" y="1003300"/>
          <a:ext cx="800100" cy="59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88900</xdr:colOff>
      <xdr:row>5</xdr:row>
      <xdr:rowOff>698500</xdr:rowOff>
    </xdr:from>
    <xdr:to>
      <xdr:col>8</xdr:col>
      <xdr:colOff>800100</xdr:colOff>
      <xdr:row>6</xdr:row>
      <xdr:rowOff>279400</xdr:rowOff>
    </xdr:to>
    <xdr:pic>
      <xdr:nvPicPr>
        <xdr:cNvPr id="13693" name="Afbeelding 31">
          <a:extLst>
            <a:ext uri="{FF2B5EF4-FFF2-40B4-BE49-F238E27FC236}">
              <a16:creationId xmlns:a16="http://schemas.microsoft.com/office/drawing/2014/main" id="{0A3DE051-5390-F941-8E97-94209F97A8BD}"/>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l="21802"/>
        <a:stretch>
          <a:fillRect/>
        </a:stretch>
      </xdr:blipFill>
      <xdr:spPr bwMode="auto">
        <a:xfrm>
          <a:off x="7620000" y="1701800"/>
          <a:ext cx="711200" cy="63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101600</xdr:colOff>
      <xdr:row>6</xdr:row>
      <xdr:rowOff>381000</xdr:rowOff>
    </xdr:from>
    <xdr:to>
      <xdr:col>8</xdr:col>
      <xdr:colOff>800100</xdr:colOff>
      <xdr:row>7</xdr:row>
      <xdr:rowOff>266700</xdr:rowOff>
    </xdr:to>
    <xdr:pic>
      <xdr:nvPicPr>
        <xdr:cNvPr id="13694" name="Afbeelding 32">
          <a:extLst>
            <a:ext uri="{FF2B5EF4-FFF2-40B4-BE49-F238E27FC236}">
              <a16:creationId xmlns:a16="http://schemas.microsoft.com/office/drawing/2014/main" id="{019614DA-FDFC-DB4A-B1D2-F52D7F0751B9}"/>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l="42332" r="7475"/>
        <a:stretch>
          <a:fillRect/>
        </a:stretch>
      </xdr:blipFill>
      <xdr:spPr bwMode="auto">
        <a:xfrm>
          <a:off x="7632700" y="2438400"/>
          <a:ext cx="698500"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101600</xdr:colOff>
      <xdr:row>7</xdr:row>
      <xdr:rowOff>317500</xdr:rowOff>
    </xdr:from>
    <xdr:to>
      <xdr:col>8</xdr:col>
      <xdr:colOff>800100</xdr:colOff>
      <xdr:row>8</xdr:row>
      <xdr:rowOff>215900</xdr:rowOff>
    </xdr:to>
    <xdr:pic>
      <xdr:nvPicPr>
        <xdr:cNvPr id="13695" name="Afbeelding 34">
          <a:extLst>
            <a:ext uri="{FF2B5EF4-FFF2-40B4-BE49-F238E27FC236}">
              <a16:creationId xmlns:a16="http://schemas.microsoft.com/office/drawing/2014/main" id="{6A04B187-1A56-4543-90E7-6DEBF40FADEE}"/>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l="5884" r="13213"/>
        <a:stretch>
          <a:fillRect/>
        </a:stretch>
      </xdr:blipFill>
      <xdr:spPr bwMode="auto">
        <a:xfrm>
          <a:off x="7632700" y="3162300"/>
          <a:ext cx="698500"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317500</xdr:colOff>
      <xdr:row>2</xdr:row>
      <xdr:rowOff>0</xdr:rowOff>
    </xdr:from>
    <xdr:to>
      <xdr:col>7</xdr:col>
      <xdr:colOff>1168400</xdr:colOff>
      <xdr:row>5</xdr:row>
      <xdr:rowOff>127000</xdr:rowOff>
    </xdr:to>
    <xdr:pic>
      <xdr:nvPicPr>
        <xdr:cNvPr id="13696" name="Afbeelding 8">
          <a:extLst>
            <a:ext uri="{FF2B5EF4-FFF2-40B4-BE49-F238E27FC236}">
              <a16:creationId xmlns:a16="http://schemas.microsoft.com/office/drawing/2014/main" id="{3DF5844A-C1FF-B54E-B952-6565A2465413}"/>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6477000" y="355600"/>
          <a:ext cx="850900" cy="77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508000</xdr:colOff>
      <xdr:row>13</xdr:row>
      <xdr:rowOff>63500</xdr:rowOff>
    </xdr:from>
    <xdr:to>
      <xdr:col>8</xdr:col>
      <xdr:colOff>3048000</xdr:colOff>
      <xdr:row>45</xdr:row>
      <xdr:rowOff>25400</xdr:rowOff>
    </xdr:to>
    <xdr:pic>
      <xdr:nvPicPr>
        <xdr:cNvPr id="13697" name="Afbeelding 1">
          <a:extLst>
            <a:ext uri="{FF2B5EF4-FFF2-40B4-BE49-F238E27FC236}">
              <a16:creationId xmlns:a16="http://schemas.microsoft.com/office/drawing/2014/main" id="{F485E433-487C-F841-B83A-F273AB8F9BE6}"/>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8039100" y="4445000"/>
          <a:ext cx="2540000" cy="321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3</xdr:col>
      <xdr:colOff>838200</xdr:colOff>
      <xdr:row>14</xdr:row>
      <xdr:rowOff>101600</xdr:rowOff>
    </xdr:to>
    <xdr:pic>
      <xdr:nvPicPr>
        <xdr:cNvPr id="12334" name="Afbeelding 1">
          <a:extLst>
            <a:ext uri="{FF2B5EF4-FFF2-40B4-BE49-F238E27FC236}">
              <a16:creationId xmlns:a16="http://schemas.microsoft.com/office/drawing/2014/main" id="{20CAC296-DFBB-2349-AFF5-0D5BBB53C3C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330200"/>
          <a:ext cx="3810000" cy="212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685800</xdr:colOff>
      <xdr:row>3</xdr:row>
      <xdr:rowOff>101600</xdr:rowOff>
    </xdr:from>
    <xdr:to>
      <xdr:col>3</xdr:col>
      <xdr:colOff>393700</xdr:colOff>
      <xdr:row>23</xdr:row>
      <xdr:rowOff>76200</xdr:rowOff>
    </xdr:to>
    <xdr:pic>
      <xdr:nvPicPr>
        <xdr:cNvPr id="11138" name="Afbeelding 13">
          <a:extLst>
            <a:ext uri="{FF2B5EF4-FFF2-40B4-BE49-F238E27FC236}">
              <a16:creationId xmlns:a16="http://schemas.microsoft.com/office/drawing/2014/main" id="{C4733D57-943D-744D-99BF-A1D468B0CB5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1300" y="596900"/>
          <a:ext cx="3136900" cy="388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2590800</xdr:colOff>
      <xdr:row>15</xdr:row>
      <xdr:rowOff>88900</xdr:rowOff>
    </xdr:from>
    <xdr:to>
      <xdr:col>3</xdr:col>
      <xdr:colOff>165100</xdr:colOff>
      <xdr:row>16</xdr:row>
      <xdr:rowOff>76200</xdr:rowOff>
    </xdr:to>
    <xdr:pic>
      <xdr:nvPicPr>
        <xdr:cNvPr id="11139" name="Afbeelding 2">
          <a:extLst>
            <a:ext uri="{FF2B5EF4-FFF2-40B4-BE49-F238E27FC236}">
              <a16:creationId xmlns:a16="http://schemas.microsoft.com/office/drawing/2014/main" id="{18CCE407-84AB-794E-A7F7-AADB0E43652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41800" y="2870200"/>
          <a:ext cx="1778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2565400</xdr:colOff>
      <xdr:row>18</xdr:row>
      <xdr:rowOff>63500</xdr:rowOff>
    </xdr:from>
    <xdr:to>
      <xdr:col>3</xdr:col>
      <xdr:colOff>203200</xdr:colOff>
      <xdr:row>19</xdr:row>
      <xdr:rowOff>76200</xdr:rowOff>
    </xdr:to>
    <xdr:pic>
      <xdr:nvPicPr>
        <xdr:cNvPr id="11140" name="Afbeelding 3">
          <a:extLst>
            <a:ext uri="{FF2B5EF4-FFF2-40B4-BE49-F238E27FC236}">
              <a16:creationId xmlns:a16="http://schemas.microsoft.com/office/drawing/2014/main" id="{CEB3568A-732C-5946-B59D-0D97EB99662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216400" y="3454400"/>
          <a:ext cx="241300"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xdr:row>
      <xdr:rowOff>38100</xdr:rowOff>
    </xdr:from>
    <xdr:to>
      <xdr:col>3</xdr:col>
      <xdr:colOff>177800</xdr:colOff>
      <xdr:row>13</xdr:row>
      <xdr:rowOff>25400</xdr:rowOff>
    </xdr:to>
    <xdr:pic>
      <xdr:nvPicPr>
        <xdr:cNvPr id="11141" name="Afbeelding 6">
          <a:extLst>
            <a:ext uri="{FF2B5EF4-FFF2-40B4-BE49-F238E27FC236}">
              <a16:creationId xmlns:a16="http://schemas.microsoft.com/office/drawing/2014/main" id="{10D0EB50-FD40-0144-8783-C2EDD903F01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54500" y="2209800"/>
          <a:ext cx="1778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2578100</xdr:colOff>
      <xdr:row>9</xdr:row>
      <xdr:rowOff>25400</xdr:rowOff>
    </xdr:from>
    <xdr:to>
      <xdr:col>3</xdr:col>
      <xdr:colOff>152400</xdr:colOff>
      <xdr:row>10</xdr:row>
      <xdr:rowOff>12700</xdr:rowOff>
    </xdr:to>
    <xdr:pic>
      <xdr:nvPicPr>
        <xdr:cNvPr id="11142" name="Afbeelding 7">
          <a:extLst>
            <a:ext uri="{FF2B5EF4-FFF2-40B4-BE49-F238E27FC236}">
              <a16:creationId xmlns:a16="http://schemas.microsoft.com/office/drawing/2014/main" id="{0F3374CD-EEF1-0E41-B9E0-CF7B65E5B82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29100" y="1587500"/>
          <a:ext cx="1778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xdr:row>
      <xdr:rowOff>63500</xdr:rowOff>
    </xdr:from>
    <xdr:to>
      <xdr:col>3</xdr:col>
      <xdr:colOff>177800</xdr:colOff>
      <xdr:row>14</xdr:row>
      <xdr:rowOff>50800</xdr:rowOff>
    </xdr:to>
    <xdr:pic>
      <xdr:nvPicPr>
        <xdr:cNvPr id="11143" name="Afbeelding 8">
          <a:extLst>
            <a:ext uri="{FF2B5EF4-FFF2-40B4-BE49-F238E27FC236}">
              <a16:creationId xmlns:a16="http://schemas.microsoft.com/office/drawing/2014/main" id="{4C28785B-570B-5943-B2C9-A79F7AB5F13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54500" y="2438400"/>
          <a:ext cx="1778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2578100</xdr:colOff>
      <xdr:row>10</xdr:row>
      <xdr:rowOff>25400</xdr:rowOff>
    </xdr:from>
    <xdr:to>
      <xdr:col>3</xdr:col>
      <xdr:colOff>152400</xdr:colOff>
      <xdr:row>11</xdr:row>
      <xdr:rowOff>12700</xdr:rowOff>
    </xdr:to>
    <xdr:pic>
      <xdr:nvPicPr>
        <xdr:cNvPr id="11144" name="Afbeelding 9">
          <a:extLst>
            <a:ext uri="{FF2B5EF4-FFF2-40B4-BE49-F238E27FC236}">
              <a16:creationId xmlns:a16="http://schemas.microsoft.com/office/drawing/2014/main" id="{14324BC7-023A-2642-B171-4CF9AAA5A16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29100" y="1790700"/>
          <a:ext cx="1778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2590800</xdr:colOff>
      <xdr:row>11</xdr:row>
      <xdr:rowOff>25400</xdr:rowOff>
    </xdr:from>
    <xdr:to>
      <xdr:col>3</xdr:col>
      <xdr:colOff>165100</xdr:colOff>
      <xdr:row>12</xdr:row>
      <xdr:rowOff>12700</xdr:rowOff>
    </xdr:to>
    <xdr:pic>
      <xdr:nvPicPr>
        <xdr:cNvPr id="11145" name="Afbeelding 11">
          <a:extLst>
            <a:ext uri="{FF2B5EF4-FFF2-40B4-BE49-F238E27FC236}">
              <a16:creationId xmlns:a16="http://schemas.microsoft.com/office/drawing/2014/main" id="{931FCF57-00EB-5744-B758-926A08D875D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41800" y="1993900"/>
          <a:ext cx="1778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12700</xdr:rowOff>
    </xdr:from>
    <xdr:to>
      <xdr:col>3</xdr:col>
      <xdr:colOff>177800</xdr:colOff>
      <xdr:row>9</xdr:row>
      <xdr:rowOff>0</xdr:rowOff>
    </xdr:to>
    <xdr:pic>
      <xdr:nvPicPr>
        <xdr:cNvPr id="11146" name="Afbeelding 12">
          <a:extLst>
            <a:ext uri="{FF2B5EF4-FFF2-40B4-BE49-F238E27FC236}">
              <a16:creationId xmlns:a16="http://schemas.microsoft.com/office/drawing/2014/main" id="{90925FB2-B059-8047-BAFC-BFA0EDC2CD7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54500" y="1371600"/>
          <a:ext cx="1778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228600</xdr:colOff>
      <xdr:row>6</xdr:row>
      <xdr:rowOff>127000</xdr:rowOff>
    </xdr:from>
    <xdr:to>
      <xdr:col>3</xdr:col>
      <xdr:colOff>431800</xdr:colOff>
      <xdr:row>23</xdr:row>
      <xdr:rowOff>88900</xdr:rowOff>
    </xdr:to>
    <xdr:sp macro="" textlink="">
      <xdr:nvSpPr>
        <xdr:cNvPr id="24" name="Tekstvak 23">
          <a:extLst>
            <a:ext uri="{FF2B5EF4-FFF2-40B4-BE49-F238E27FC236}">
              <a16:creationId xmlns:a16="http://schemas.microsoft.com/office/drawing/2014/main" id="{CE17DCC4-EF7A-334E-B28A-C7058A5DEB91}"/>
            </a:ext>
          </a:extLst>
        </xdr:cNvPr>
        <xdr:cNvSpPr txBox="1"/>
      </xdr:nvSpPr>
      <xdr:spPr>
        <a:xfrm>
          <a:off x="1879600" y="1117600"/>
          <a:ext cx="2806700" cy="3378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800" b="1" i="1" u="sng" strike="noStrike">
              <a:solidFill>
                <a:schemeClr val="dk1"/>
              </a:solidFill>
              <a:effectLst/>
              <a:latin typeface="+mn-lt"/>
              <a:ea typeface="+mn-ea"/>
              <a:cs typeface="+mn-cs"/>
            </a:rPr>
            <a:t>Voordelen PITH Systeem</a:t>
          </a:r>
          <a:r>
            <a:rPr lang="nl-NL" sz="800"/>
            <a:t> </a:t>
          </a:r>
        </a:p>
        <a:p>
          <a:endParaRPr lang="nl-NL" sz="800" b="0" i="0" u="none" strike="noStrike">
            <a:solidFill>
              <a:schemeClr val="dk1"/>
            </a:solidFill>
            <a:effectLst/>
            <a:latin typeface="+mn-lt"/>
            <a:ea typeface="+mn-ea"/>
            <a:cs typeface="+mn-cs"/>
          </a:endParaRPr>
        </a:p>
        <a:p>
          <a:r>
            <a:rPr lang="nl-NL" sz="800" b="0" i="0" u="none" strike="noStrike">
              <a:solidFill>
                <a:schemeClr val="dk1"/>
              </a:solidFill>
              <a:effectLst/>
              <a:latin typeface="+mn-lt"/>
              <a:ea typeface="+mn-ea"/>
              <a:cs typeface="+mn-cs"/>
            </a:rPr>
            <a:t>Integrale veiligheid 24-7 gegarandeerd </a:t>
          </a:r>
        </a:p>
        <a:p>
          <a:endParaRPr lang="nl-NL" sz="600"/>
        </a:p>
        <a:p>
          <a:r>
            <a:rPr lang="nl-NL" sz="800" b="0" i="0" u="none" strike="noStrike">
              <a:solidFill>
                <a:schemeClr val="dk1"/>
              </a:solidFill>
              <a:effectLst/>
              <a:latin typeface="+mn-lt"/>
              <a:ea typeface="+mn-ea"/>
              <a:cs typeface="+mn-cs"/>
            </a:rPr>
            <a:t>Uitsluiting van aansprakelijkheid</a:t>
          </a:r>
          <a:r>
            <a:rPr lang="nl-NL" sz="800"/>
            <a:t> </a:t>
          </a:r>
        </a:p>
        <a:p>
          <a:endParaRPr lang="nl-NL" sz="600"/>
        </a:p>
        <a:p>
          <a:r>
            <a:rPr lang="nl-NL" sz="800" b="0" i="0" u="none" strike="noStrike">
              <a:solidFill>
                <a:schemeClr val="dk1"/>
              </a:solidFill>
              <a:effectLst/>
              <a:latin typeface="+mn-lt"/>
              <a:ea typeface="+mn-ea"/>
              <a:cs typeface="+mn-cs"/>
            </a:rPr>
            <a:t>Meer rendement op uw vastgoed</a:t>
          </a:r>
          <a:endParaRPr lang="nl-NL" sz="800"/>
        </a:p>
        <a:p>
          <a:endParaRPr lang="nl-NL" sz="600" b="0" i="0" u="none" strike="noStrik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nl-NL" sz="800" b="0" i="0" u="none" strike="noStrike">
              <a:solidFill>
                <a:schemeClr val="dk1"/>
              </a:solidFill>
              <a:effectLst/>
              <a:latin typeface="+mn-lt"/>
              <a:ea typeface="+mn-ea"/>
              <a:cs typeface="+mn-cs"/>
            </a:rPr>
            <a:t>Minder overlast voor bewoners</a:t>
          </a:r>
          <a:r>
            <a:rPr lang="nl-NL" sz="800"/>
            <a:t> </a:t>
          </a:r>
        </a:p>
        <a:p>
          <a:pPr marL="0" marR="0" indent="0" defTabSz="914400" eaLnBrk="1" fontAlgn="auto" latinLnBrk="0" hangingPunct="1">
            <a:lnSpc>
              <a:spcPct val="100000"/>
            </a:lnSpc>
            <a:spcBef>
              <a:spcPts val="0"/>
            </a:spcBef>
            <a:spcAft>
              <a:spcPts val="0"/>
            </a:spcAft>
            <a:buClrTx/>
            <a:buSzTx/>
            <a:buFontTx/>
            <a:buNone/>
            <a:tabLst/>
            <a:defRPr/>
          </a:pPr>
          <a:endParaRPr lang="nl-NL" sz="600"/>
        </a:p>
        <a:p>
          <a:pPr marL="0" marR="0" indent="0" defTabSz="914400" eaLnBrk="1" fontAlgn="auto" latinLnBrk="0" hangingPunct="1">
            <a:lnSpc>
              <a:spcPct val="100000"/>
            </a:lnSpc>
            <a:spcBef>
              <a:spcPts val="0"/>
            </a:spcBef>
            <a:spcAft>
              <a:spcPts val="0"/>
            </a:spcAft>
            <a:buClrTx/>
            <a:buSzTx/>
            <a:buFontTx/>
            <a:buNone/>
            <a:tabLst/>
            <a:defRPr/>
          </a:pPr>
          <a:r>
            <a:rPr lang="nl-NL" sz="800" b="0" i="0" u="none" strike="noStrike" baseline="0">
              <a:solidFill>
                <a:schemeClr val="dk1"/>
              </a:solidFill>
              <a:effectLst/>
              <a:latin typeface="+mn-lt"/>
              <a:ea typeface="+mn-ea"/>
              <a:cs typeface="+mn-cs"/>
            </a:rPr>
            <a:t>Exclusief voor op platte daken   &lt; 4 meter </a:t>
          </a:r>
        </a:p>
        <a:p>
          <a:pPr marL="0" marR="0" indent="0" defTabSz="914400" eaLnBrk="1" fontAlgn="auto" latinLnBrk="0" hangingPunct="1">
            <a:lnSpc>
              <a:spcPct val="100000"/>
            </a:lnSpc>
            <a:spcBef>
              <a:spcPts val="0"/>
            </a:spcBef>
            <a:spcAft>
              <a:spcPts val="0"/>
            </a:spcAft>
            <a:buClrTx/>
            <a:buSzTx/>
            <a:buFontTx/>
            <a:buNone/>
            <a:tabLst/>
            <a:defRPr/>
          </a:pPr>
          <a:endParaRPr lang="nl-NL" sz="600" b="0" i="0" u="none" strike="noStrike">
            <a:solidFill>
              <a:schemeClr val="dk1"/>
            </a:solidFill>
            <a:effectLst/>
            <a:latin typeface="+mn-lt"/>
            <a:ea typeface="+mn-ea"/>
            <a:cs typeface="+mn-cs"/>
          </a:endParaRPr>
        </a:p>
        <a:p>
          <a:r>
            <a:rPr lang="nl-NL" sz="800" b="0" i="0" u="none" strike="noStrike">
              <a:solidFill>
                <a:schemeClr val="dk1"/>
              </a:solidFill>
              <a:effectLst/>
              <a:latin typeface="+mn-lt"/>
              <a:ea typeface="+mn-ea"/>
              <a:cs typeface="+mn-cs"/>
            </a:rPr>
            <a:t>Te gebruiken</a:t>
          </a:r>
          <a:r>
            <a:rPr lang="nl-NL" sz="800" b="0" i="0" u="none" strike="noStrike" baseline="0">
              <a:solidFill>
                <a:schemeClr val="dk1"/>
              </a:solidFill>
              <a:effectLst/>
              <a:latin typeface="+mn-lt"/>
              <a:ea typeface="+mn-ea"/>
              <a:cs typeface="+mn-cs"/>
            </a:rPr>
            <a:t> mindeer draagkrachtige daken</a:t>
          </a:r>
          <a:endParaRPr lang="nl-NL" sz="800"/>
        </a:p>
        <a:p>
          <a:endParaRPr lang="nl-NL" sz="600" b="0" i="0" u="none" strike="noStrike">
            <a:solidFill>
              <a:schemeClr val="dk1"/>
            </a:solidFill>
            <a:effectLst/>
            <a:latin typeface="+mn-lt"/>
            <a:ea typeface="+mn-ea"/>
            <a:cs typeface="+mn-cs"/>
          </a:endParaRPr>
        </a:p>
        <a:p>
          <a:r>
            <a:rPr lang="nl-NL" sz="800" b="0" i="0" u="none" strike="noStrike">
              <a:solidFill>
                <a:schemeClr val="dk1"/>
              </a:solidFill>
              <a:effectLst/>
              <a:latin typeface="+mn-lt"/>
              <a:ea typeface="+mn-ea"/>
              <a:cs typeface="+mn-cs"/>
            </a:rPr>
            <a:t>Onbelemmerd en beveiligd het dak op en af</a:t>
          </a:r>
          <a:r>
            <a:rPr lang="nl-NL" sz="800"/>
            <a:t> </a:t>
          </a:r>
        </a:p>
        <a:p>
          <a:endParaRPr lang="nl-NL" sz="600" b="0" i="0" u="none" strike="noStrike">
            <a:solidFill>
              <a:schemeClr val="dk1"/>
            </a:solidFill>
            <a:effectLst/>
            <a:latin typeface="+mn-lt"/>
            <a:ea typeface="+mn-ea"/>
            <a:cs typeface="+mn-cs"/>
          </a:endParaRPr>
        </a:p>
        <a:p>
          <a:r>
            <a:rPr lang="nl-NL" sz="800" b="0" i="0" u="none" strike="noStrike">
              <a:solidFill>
                <a:schemeClr val="dk1"/>
              </a:solidFill>
              <a:effectLst/>
              <a:latin typeface="+mn-lt"/>
              <a:ea typeface="+mn-ea"/>
              <a:cs typeface="+mn-cs"/>
            </a:rPr>
            <a:t>Combinatie met waterafvoersysteeem als optie</a:t>
          </a:r>
        </a:p>
        <a:p>
          <a:endParaRPr lang="nl-NL" sz="800"/>
        </a:p>
        <a:p>
          <a:endParaRPr lang="nl-NL" sz="800" b="1" i="1" u="sng" strike="noStrike">
            <a:solidFill>
              <a:schemeClr val="dk1"/>
            </a:solidFill>
            <a:effectLst/>
            <a:latin typeface="+mn-lt"/>
            <a:ea typeface="+mn-ea"/>
            <a:cs typeface="+mn-cs"/>
          </a:endParaRPr>
        </a:p>
        <a:p>
          <a:r>
            <a:rPr lang="nl-NL" sz="800" b="1" i="1" u="sng" strike="noStrike">
              <a:solidFill>
                <a:schemeClr val="dk1"/>
              </a:solidFill>
              <a:effectLst/>
              <a:latin typeface="+mn-lt"/>
              <a:ea typeface="+mn-ea"/>
              <a:cs typeface="+mn-cs"/>
            </a:rPr>
            <a:t>Nadelen regulier systeem</a:t>
          </a:r>
          <a:r>
            <a:rPr lang="nl-NL" sz="800"/>
            <a:t> </a:t>
          </a:r>
        </a:p>
        <a:p>
          <a:endParaRPr lang="nl-NL" sz="600" b="0" i="0" u="none" strike="noStrike">
            <a:solidFill>
              <a:schemeClr val="dk1"/>
            </a:solidFill>
            <a:effectLst/>
            <a:latin typeface="+mn-lt"/>
            <a:ea typeface="+mn-ea"/>
            <a:cs typeface="+mn-cs"/>
          </a:endParaRPr>
        </a:p>
        <a:p>
          <a:r>
            <a:rPr lang="nl-NL" sz="800" b="0" i="0" u="none" strike="noStrike">
              <a:solidFill>
                <a:schemeClr val="dk1"/>
              </a:solidFill>
              <a:effectLst/>
              <a:latin typeface="+mn-lt"/>
              <a:ea typeface="+mn-ea"/>
              <a:cs typeface="+mn-cs"/>
            </a:rPr>
            <a:t>Is geen collectieve voorziening</a:t>
          </a:r>
          <a:r>
            <a:rPr lang="nl-NL" sz="800"/>
            <a:t> </a:t>
          </a:r>
        </a:p>
      </xdr:txBody>
    </xdr:sp>
    <xdr:clientData/>
  </xdr:twoCellAnchor>
  <xdr:twoCellAnchor editAs="oneCell">
    <xdr:from>
      <xdr:col>2</xdr:col>
      <xdr:colOff>2590800</xdr:colOff>
      <xdr:row>14</xdr:row>
      <xdr:rowOff>88900</xdr:rowOff>
    </xdr:from>
    <xdr:to>
      <xdr:col>3</xdr:col>
      <xdr:colOff>165100</xdr:colOff>
      <xdr:row>15</xdr:row>
      <xdr:rowOff>76200</xdr:rowOff>
    </xdr:to>
    <xdr:pic>
      <xdr:nvPicPr>
        <xdr:cNvPr id="11148" name="Afbeelding 8">
          <a:extLst>
            <a:ext uri="{FF2B5EF4-FFF2-40B4-BE49-F238E27FC236}">
              <a16:creationId xmlns:a16="http://schemas.microsoft.com/office/drawing/2014/main" id="{090A3839-7165-744A-BDA5-5C2E769EE93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41800" y="2667000"/>
          <a:ext cx="1778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1282700</xdr:colOff>
      <xdr:row>4</xdr:row>
      <xdr:rowOff>38100</xdr:rowOff>
    </xdr:from>
    <xdr:to>
      <xdr:col>3</xdr:col>
      <xdr:colOff>292100</xdr:colOff>
      <xdr:row>6</xdr:row>
      <xdr:rowOff>0</xdr:rowOff>
    </xdr:to>
    <xdr:pic>
      <xdr:nvPicPr>
        <xdr:cNvPr id="11149" name="Afbeelding 7">
          <a:extLst>
            <a:ext uri="{FF2B5EF4-FFF2-40B4-BE49-F238E27FC236}">
              <a16:creationId xmlns:a16="http://schemas.microsoft.com/office/drawing/2014/main" id="{A0155F86-E4E2-B241-8534-1A9BB549043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33700" y="698500"/>
          <a:ext cx="161290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7">
    <pageSetUpPr fitToPage="1"/>
  </sheetPr>
  <dimension ref="A1:J93"/>
  <sheetViews>
    <sheetView topLeftCell="A38" zoomScaleNormal="100" workbookViewId="0">
      <selection activeCell="G13" sqref="G13"/>
    </sheetView>
  </sheetViews>
  <sheetFormatPr baseColWidth="10" defaultColWidth="11.5" defaultRowHeight="13" x14ac:dyDescent="0.15"/>
  <cols>
    <col min="1" max="1" width="12" customWidth="1"/>
    <col min="2" max="2" width="27.6640625" customWidth="1"/>
    <col min="3" max="7" width="17" customWidth="1"/>
    <col min="8" max="8" width="2.6640625" customWidth="1"/>
    <col min="9" max="10" width="12.6640625" customWidth="1"/>
  </cols>
  <sheetData>
    <row r="1" spans="1:10" ht="24" thickBot="1" x14ac:dyDescent="0.3">
      <c r="A1" s="74" t="s">
        <v>22</v>
      </c>
      <c r="B1" s="25"/>
      <c r="C1" s="25"/>
      <c r="D1" s="25"/>
      <c r="E1" s="25"/>
      <c r="F1" s="75" t="s">
        <v>42</v>
      </c>
      <c r="G1" s="25"/>
      <c r="H1" s="25"/>
      <c r="I1" s="25"/>
      <c r="J1" s="25"/>
    </row>
    <row r="2" spans="1:10" ht="14" thickTop="1" x14ac:dyDescent="0.15"/>
    <row r="3" spans="1:10" ht="14" thickBot="1" x14ac:dyDescent="0.2">
      <c r="I3" s="226" t="s">
        <v>62</v>
      </c>
    </row>
    <row r="4" spans="1:10" ht="17" thickTop="1" x14ac:dyDescent="0.2">
      <c r="A4" s="53" t="s">
        <v>43</v>
      </c>
      <c r="B4" s="50"/>
      <c r="C4" s="110" t="s">
        <v>111</v>
      </c>
      <c r="D4" s="110"/>
      <c r="E4" s="110"/>
      <c r="F4" s="110"/>
      <c r="G4" s="110"/>
      <c r="H4" s="110"/>
      <c r="I4" s="110"/>
      <c r="J4" s="111"/>
    </row>
    <row r="5" spans="1:10" x14ac:dyDescent="0.15">
      <c r="A5" s="113"/>
      <c r="B5" s="4"/>
      <c r="C5" s="59"/>
      <c r="D5" s="59"/>
      <c r="E5" s="59"/>
      <c r="F5" s="132"/>
      <c r="G5" s="132"/>
      <c r="J5" s="114"/>
    </row>
    <row r="6" spans="1:10" ht="15" thickBot="1" x14ac:dyDescent="0.2">
      <c r="A6" s="112"/>
      <c r="B6" s="116" t="s">
        <v>14</v>
      </c>
      <c r="C6" s="164" t="s">
        <v>61</v>
      </c>
      <c r="D6" s="164"/>
      <c r="E6" s="164"/>
      <c r="F6" s="163" t="s">
        <v>16</v>
      </c>
      <c r="G6" s="164" t="s">
        <v>61</v>
      </c>
      <c r="H6" s="164"/>
      <c r="I6" s="164"/>
      <c r="J6" s="115"/>
    </row>
    <row r="7" spans="1:10" ht="14" thickTop="1" x14ac:dyDescent="0.15">
      <c r="A7" s="1"/>
      <c r="B7" s="1"/>
    </row>
    <row r="8" spans="1:10" ht="14" thickBot="1" x14ac:dyDescent="0.2">
      <c r="A8" s="1"/>
      <c r="B8" s="1"/>
    </row>
    <row r="9" spans="1:10" ht="20" thickTop="1" thickBot="1" x14ac:dyDescent="0.25">
      <c r="A9" s="26" t="s">
        <v>0</v>
      </c>
      <c r="B9" s="9"/>
      <c r="C9" s="2"/>
      <c r="D9" s="2"/>
      <c r="E9" s="2"/>
      <c r="F9" s="2"/>
      <c r="G9" s="3"/>
      <c r="H9" s="54"/>
      <c r="I9" s="11"/>
      <c r="J9" s="12"/>
    </row>
    <row r="10" spans="1:10" ht="17" thickTop="1" x14ac:dyDescent="0.2">
      <c r="A10" s="118" t="s">
        <v>1</v>
      </c>
      <c r="B10" s="119"/>
      <c r="C10" s="123"/>
      <c r="D10" s="120"/>
      <c r="F10" s="32"/>
      <c r="G10" s="107"/>
      <c r="H10" s="55"/>
      <c r="I10" s="76" t="s">
        <v>17</v>
      </c>
      <c r="J10" s="15"/>
    </row>
    <row r="11" spans="1:10" ht="16.5" customHeight="1" x14ac:dyDescent="0.15">
      <c r="A11" s="94" t="s">
        <v>2</v>
      </c>
      <c r="B11" s="28"/>
      <c r="C11" s="29">
        <f>'Spec. systeem'!E46</f>
        <v>-1390</v>
      </c>
      <c r="D11" s="121" t="s">
        <v>44</v>
      </c>
      <c r="F11" s="106"/>
      <c r="G11" s="109"/>
      <c r="H11" s="56"/>
      <c r="I11" s="76" t="s">
        <v>18</v>
      </c>
      <c r="J11" s="15"/>
    </row>
    <row r="12" spans="1:10" ht="16.5" customHeight="1" thickBot="1" x14ac:dyDescent="0.2">
      <c r="A12" s="94" t="s">
        <v>3</v>
      </c>
      <c r="B12" s="28"/>
      <c r="C12" s="29"/>
      <c r="D12" s="121" t="s">
        <v>45</v>
      </c>
      <c r="F12" s="106"/>
      <c r="G12" s="34">
        <f>'Overzicht en kosten'!G39</f>
        <v>50</v>
      </c>
      <c r="H12" s="57"/>
      <c r="I12" s="76" t="s">
        <v>19</v>
      </c>
      <c r="J12" s="15"/>
    </row>
    <row r="13" spans="1:10" ht="16.5" customHeight="1" thickTop="1" thickBot="1" x14ac:dyDescent="0.2">
      <c r="A13" s="95" t="s">
        <v>4</v>
      </c>
      <c r="B13" s="28"/>
      <c r="C13" s="186">
        <v>0</v>
      </c>
      <c r="D13" s="121" t="s">
        <v>59</v>
      </c>
      <c r="F13" s="106"/>
      <c r="G13" s="77">
        <f>'Spec. systeem'!A42</f>
        <v>4.8000000000000001E-2</v>
      </c>
      <c r="H13" s="56"/>
      <c r="I13" s="76" t="s">
        <v>20</v>
      </c>
      <c r="J13" s="15"/>
    </row>
    <row r="14" spans="1:10" ht="15" thickTop="1" x14ac:dyDescent="0.15">
      <c r="A14" s="94" t="s">
        <v>39</v>
      </c>
      <c r="B14" s="31"/>
      <c r="C14" s="185">
        <f>SUM(C11:C13)</f>
        <v>-1390</v>
      </c>
      <c r="D14" s="122"/>
      <c r="F14" s="32"/>
      <c r="G14" s="108"/>
      <c r="H14" s="58"/>
      <c r="I14" s="76" t="s">
        <v>21</v>
      </c>
      <c r="J14" s="15"/>
    </row>
    <row r="15" spans="1:10" ht="14" thickBot="1" x14ac:dyDescent="0.2">
      <c r="A15" s="19"/>
      <c r="B15" s="20"/>
      <c r="C15" s="20"/>
      <c r="D15" s="20"/>
      <c r="E15" s="20"/>
      <c r="F15" s="20"/>
      <c r="G15" s="21"/>
      <c r="H15" s="59"/>
      <c r="I15" s="14"/>
      <c r="J15" s="15"/>
    </row>
    <row r="16" spans="1:10" ht="15" thickTop="1" thickBot="1" x14ac:dyDescent="0.2">
      <c r="A16" s="16"/>
      <c r="B16" s="6"/>
      <c r="C16" s="6"/>
      <c r="D16" s="6"/>
      <c r="E16" s="6"/>
      <c r="F16" s="6"/>
      <c r="G16" s="6"/>
      <c r="H16" s="6"/>
      <c r="I16" s="6"/>
      <c r="J16" s="7"/>
    </row>
    <row r="17" spans="1:10" ht="14" thickTop="1" x14ac:dyDescent="0.15">
      <c r="A17" s="22"/>
      <c r="B17" s="17"/>
      <c r="C17" s="17"/>
      <c r="D17" s="17"/>
      <c r="E17" s="17"/>
      <c r="F17" s="17"/>
      <c r="G17" s="17"/>
      <c r="H17" s="17"/>
      <c r="I17" s="17"/>
      <c r="J17" s="18"/>
    </row>
    <row r="18" spans="1:10" ht="19" thickBot="1" x14ac:dyDescent="0.25">
      <c r="A18" s="27" t="s">
        <v>5</v>
      </c>
      <c r="B18" s="4"/>
      <c r="C18" s="4"/>
      <c r="D18" s="4"/>
      <c r="E18" s="4"/>
      <c r="F18" s="4"/>
      <c r="G18" s="4"/>
      <c r="H18" s="17"/>
      <c r="I18" s="4"/>
      <c r="J18" s="5"/>
    </row>
    <row r="19" spans="1:10" ht="15" thickTop="1" x14ac:dyDescent="0.15">
      <c r="A19" s="35" t="s">
        <v>6</v>
      </c>
      <c r="B19" s="36"/>
      <c r="C19" s="35" t="s">
        <v>12</v>
      </c>
      <c r="D19" s="37" t="s">
        <v>13</v>
      </c>
      <c r="E19" s="35" t="s">
        <v>23</v>
      </c>
      <c r="F19" s="37" t="s">
        <v>25</v>
      </c>
      <c r="G19" s="37" t="s">
        <v>26</v>
      </c>
      <c r="H19" s="60"/>
      <c r="I19" s="78" t="s">
        <v>28</v>
      </c>
      <c r="J19" s="79" t="s">
        <v>29</v>
      </c>
    </row>
    <row r="20" spans="1:10" ht="15" thickBot="1" x14ac:dyDescent="0.2">
      <c r="A20" s="38" t="s">
        <v>7</v>
      </c>
      <c r="B20" s="39"/>
      <c r="C20" s="38" t="s">
        <v>49</v>
      </c>
      <c r="D20" s="40" t="s">
        <v>49</v>
      </c>
      <c r="E20" s="38" t="s">
        <v>24</v>
      </c>
      <c r="F20" s="40" t="s">
        <v>15</v>
      </c>
      <c r="G20" s="40" t="s">
        <v>27</v>
      </c>
      <c r="H20" s="60"/>
      <c r="I20" s="80" t="s">
        <v>15</v>
      </c>
      <c r="J20" s="81" t="s">
        <v>15</v>
      </c>
    </row>
    <row r="21" spans="1:10" ht="16" thickTop="1" x14ac:dyDescent="0.15">
      <c r="A21" s="88" t="s">
        <v>30</v>
      </c>
      <c r="B21" s="93" t="s">
        <v>31</v>
      </c>
      <c r="C21" s="88" t="s">
        <v>35</v>
      </c>
      <c r="D21" s="89" t="s">
        <v>32</v>
      </c>
      <c r="E21" s="88" t="s">
        <v>36</v>
      </c>
      <c r="F21" s="90" t="s">
        <v>37</v>
      </c>
      <c r="G21" s="89" t="s">
        <v>38</v>
      </c>
      <c r="H21" s="17"/>
      <c r="I21" s="91" t="s">
        <v>33</v>
      </c>
      <c r="J21" s="92" t="s">
        <v>34</v>
      </c>
    </row>
    <row r="22" spans="1:10" ht="14" x14ac:dyDescent="0.15">
      <c r="A22" s="10"/>
      <c r="B22" s="8"/>
      <c r="C22" s="10"/>
      <c r="D22" s="5"/>
      <c r="E22" s="10"/>
      <c r="F22" s="96"/>
      <c r="G22" s="5"/>
      <c r="H22" s="17"/>
      <c r="I22" s="82"/>
      <c r="J22" s="83"/>
    </row>
    <row r="23" spans="1:10" ht="14" x14ac:dyDescent="0.15">
      <c r="A23" s="198">
        <v>0</v>
      </c>
      <c r="B23" s="199"/>
      <c r="C23" s="200">
        <v>0</v>
      </c>
      <c r="D23" s="201"/>
      <c r="E23" s="202"/>
      <c r="F23" s="203"/>
      <c r="G23" s="204"/>
      <c r="H23" s="33"/>
      <c r="I23" s="84">
        <f>(1+$G$13)^A23</f>
        <v>1</v>
      </c>
      <c r="J23" s="85">
        <f>1/(1+$G$13)^A23</f>
        <v>1</v>
      </c>
    </row>
    <row r="24" spans="1:10" ht="14" x14ac:dyDescent="0.15">
      <c r="A24" s="205">
        <v>1</v>
      </c>
      <c r="B24" s="206"/>
      <c r="C24" s="225">
        <v>0</v>
      </c>
      <c r="D24" s="207">
        <f>IF($G$12&lt;=0,0,'Spec. systeem'!$E$19)</f>
        <v>-1.536</v>
      </c>
      <c r="E24" s="208">
        <f t="shared" ref="E24:E55" si="0">C24-D24</f>
        <v>1.536</v>
      </c>
      <c r="F24" s="209">
        <f>J24</f>
        <v>0.95419847328244267</v>
      </c>
      <c r="G24" s="210">
        <f>E24*F24</f>
        <v>1.4656488549618321</v>
      </c>
      <c r="H24" s="61"/>
      <c r="I24" s="84">
        <f>(1+$G$13)^A24</f>
        <v>1.048</v>
      </c>
      <c r="J24" s="85">
        <f>1/(1+$G$13)^A24</f>
        <v>0.95419847328244267</v>
      </c>
    </row>
    <row r="25" spans="1:10" ht="14" x14ac:dyDescent="0.15">
      <c r="A25" s="205">
        <v>2</v>
      </c>
      <c r="B25" s="206"/>
      <c r="C25" s="225">
        <v>0</v>
      </c>
      <c r="D25" s="207">
        <f>IF($G$12&lt;=1,0,'Spec. systeem'!$E$19)</f>
        <v>-1.536</v>
      </c>
      <c r="E25" s="208">
        <f t="shared" si="0"/>
        <v>1.536</v>
      </c>
      <c r="F25" s="209">
        <f t="shared" ref="F25:F73" si="1">J25</f>
        <v>0.91049472641454443</v>
      </c>
      <c r="G25" s="210">
        <f t="shared" ref="G25:G73" si="2">E25*F25</f>
        <v>1.3985198997727404</v>
      </c>
      <c r="H25" s="61"/>
      <c r="I25" s="84">
        <f t="shared" ref="I25:I73" si="3">(1+$G$13)^A25</f>
        <v>1.0983040000000002</v>
      </c>
      <c r="J25" s="85">
        <f t="shared" ref="J25:J73" si="4">1/(1+$G$13)^A25</f>
        <v>0.91049472641454443</v>
      </c>
    </row>
    <row r="26" spans="1:10" ht="14" x14ac:dyDescent="0.15">
      <c r="A26" s="198">
        <v>3</v>
      </c>
      <c r="B26" s="206"/>
      <c r="C26" s="225">
        <v>0</v>
      </c>
      <c r="D26" s="207">
        <f>IF($G$12&lt;=2,0,'Spec. systeem'!$E$19)</f>
        <v>-1.536</v>
      </c>
      <c r="E26" s="208">
        <f t="shared" si="0"/>
        <v>1.536</v>
      </c>
      <c r="F26" s="209">
        <f t="shared" si="1"/>
        <v>0.86879267787647374</v>
      </c>
      <c r="G26" s="210">
        <f t="shared" si="2"/>
        <v>1.3344655532182637</v>
      </c>
      <c r="H26" s="61"/>
      <c r="I26" s="84">
        <f t="shared" si="3"/>
        <v>1.1510225920000001</v>
      </c>
      <c r="J26" s="85">
        <f t="shared" si="4"/>
        <v>0.86879267787647374</v>
      </c>
    </row>
    <row r="27" spans="1:10" ht="14" x14ac:dyDescent="0.15">
      <c r="A27" s="205">
        <v>4</v>
      </c>
      <c r="B27" s="206"/>
      <c r="C27" s="225">
        <v>0</v>
      </c>
      <c r="D27" s="207">
        <f>IF($G$12&lt;=3,0,'Spec. systeem'!$E$19)</f>
        <v>-1.536</v>
      </c>
      <c r="E27" s="208">
        <f t="shared" si="0"/>
        <v>1.536</v>
      </c>
      <c r="F27" s="209">
        <f t="shared" si="1"/>
        <v>0.82900064682869612</v>
      </c>
      <c r="G27" s="210">
        <f t="shared" si="2"/>
        <v>1.2733449935288772</v>
      </c>
      <c r="H27" s="61"/>
      <c r="I27" s="84">
        <f t="shared" si="3"/>
        <v>1.2062716764160004</v>
      </c>
      <c r="J27" s="85">
        <f t="shared" si="4"/>
        <v>0.82900064682869612</v>
      </c>
    </row>
    <row r="28" spans="1:10" ht="14" x14ac:dyDescent="0.15">
      <c r="A28" s="205">
        <v>5</v>
      </c>
      <c r="B28" s="206"/>
      <c r="C28" s="225">
        <v>0</v>
      </c>
      <c r="D28" s="207">
        <f>IF($G$12&lt;=4,0,'Spec. systeem'!$E$19)</f>
        <v>-1.536</v>
      </c>
      <c r="E28" s="208">
        <f t="shared" si="0"/>
        <v>1.536</v>
      </c>
      <c r="F28" s="209">
        <f t="shared" si="1"/>
        <v>0.79103115155409931</v>
      </c>
      <c r="G28" s="210">
        <f t="shared" si="2"/>
        <v>1.2150238487870966</v>
      </c>
      <c r="H28" s="61"/>
      <c r="I28" s="84">
        <f t="shared" si="3"/>
        <v>1.2641727168839685</v>
      </c>
      <c r="J28" s="85">
        <f t="shared" si="4"/>
        <v>0.79103115155409931</v>
      </c>
    </row>
    <row r="29" spans="1:10" ht="14" x14ac:dyDescent="0.15">
      <c r="A29" s="198">
        <v>6</v>
      </c>
      <c r="B29" s="206"/>
      <c r="C29" s="225">
        <v>0</v>
      </c>
      <c r="D29" s="207">
        <f>IF($G$12&lt;=5,0,'Spec. systeem'!$E$19)</f>
        <v>-1.536</v>
      </c>
      <c r="E29" s="208">
        <f t="shared" si="0"/>
        <v>1.536</v>
      </c>
      <c r="F29" s="209">
        <f t="shared" si="1"/>
        <v>0.7548007171317741</v>
      </c>
      <c r="G29" s="210">
        <f t="shared" si="2"/>
        <v>1.1593739015144051</v>
      </c>
      <c r="H29" s="61"/>
      <c r="I29" s="84">
        <f t="shared" si="3"/>
        <v>1.3248530072943991</v>
      </c>
      <c r="J29" s="85">
        <f t="shared" si="4"/>
        <v>0.7548007171317741</v>
      </c>
    </row>
    <row r="30" spans="1:10" ht="14" x14ac:dyDescent="0.15">
      <c r="A30" s="205">
        <v>7</v>
      </c>
      <c r="B30" s="206"/>
      <c r="C30" s="225">
        <v>0</v>
      </c>
      <c r="D30" s="207">
        <f>IF($G$12&lt;=6,0,'Spec. systeem'!$E$19)</f>
        <v>-1.536</v>
      </c>
      <c r="E30" s="208">
        <f t="shared" si="0"/>
        <v>1.536</v>
      </c>
      <c r="F30" s="209">
        <f t="shared" si="1"/>
        <v>0.72022969191963182</v>
      </c>
      <c r="G30" s="210">
        <f t="shared" si="2"/>
        <v>1.1062728067885546</v>
      </c>
      <c r="H30" s="61"/>
      <c r="I30" s="84">
        <f t="shared" si="3"/>
        <v>1.3884459516445302</v>
      </c>
      <c r="J30" s="85">
        <f t="shared" si="4"/>
        <v>0.72022969191963182</v>
      </c>
    </row>
    <row r="31" spans="1:10" ht="14" x14ac:dyDescent="0.15">
      <c r="A31" s="205">
        <v>8</v>
      </c>
      <c r="B31" s="206"/>
      <c r="C31" s="225">
        <v>0</v>
      </c>
      <c r="D31" s="207">
        <f>IF($G$12&lt;=7,0,'Spec. systeem'!$E$19)</f>
        <v>-1.536</v>
      </c>
      <c r="E31" s="208">
        <f t="shared" si="0"/>
        <v>1.536</v>
      </c>
      <c r="F31" s="209">
        <f t="shared" si="1"/>
        <v>0.68724207244239655</v>
      </c>
      <c r="G31" s="210">
        <f t="shared" si="2"/>
        <v>1.055603823271521</v>
      </c>
      <c r="H31" s="61"/>
      <c r="I31" s="84">
        <f t="shared" si="3"/>
        <v>1.4550913573234681</v>
      </c>
      <c r="J31" s="85">
        <f t="shared" si="4"/>
        <v>0.68724207244239655</v>
      </c>
    </row>
    <row r="32" spans="1:10" ht="14" x14ac:dyDescent="0.15">
      <c r="A32" s="198">
        <v>9</v>
      </c>
      <c r="B32" s="206"/>
      <c r="C32" s="225">
        <v>0</v>
      </c>
      <c r="D32" s="207">
        <f>IF($G$12&lt;=8,0,'Spec. systeem'!$E$19)</f>
        <v>-1.536</v>
      </c>
      <c r="E32" s="208">
        <f t="shared" si="0"/>
        <v>1.536</v>
      </c>
      <c r="F32" s="209">
        <f t="shared" si="1"/>
        <v>0.65576533629999678</v>
      </c>
      <c r="G32" s="210">
        <f t="shared" si="2"/>
        <v>1.0072555565567951</v>
      </c>
      <c r="H32" s="61"/>
      <c r="I32" s="84">
        <f t="shared" si="3"/>
        <v>1.5249357424749945</v>
      </c>
      <c r="J32" s="85">
        <f t="shared" si="4"/>
        <v>0.65576533629999678</v>
      </c>
    </row>
    <row r="33" spans="1:10" ht="14" x14ac:dyDescent="0.15">
      <c r="A33" s="205">
        <v>10</v>
      </c>
      <c r="B33" s="206"/>
      <c r="C33" s="225">
        <v>0</v>
      </c>
      <c r="D33" s="207">
        <f>IF($G$12&lt;=9,0,'Spec. systeem'!$E$19)</f>
        <v>-1.536</v>
      </c>
      <c r="E33" s="208">
        <f t="shared" si="0"/>
        <v>1.536</v>
      </c>
      <c r="F33" s="209">
        <f t="shared" si="1"/>
        <v>0.62573028272900444</v>
      </c>
      <c r="G33" s="210">
        <f t="shared" si="2"/>
        <v>0.96112171427175086</v>
      </c>
      <c r="H33" s="61"/>
      <c r="I33" s="84">
        <f t="shared" si="3"/>
        <v>1.5981326581137945</v>
      </c>
      <c r="J33" s="85">
        <f t="shared" si="4"/>
        <v>0.62573028272900444</v>
      </c>
    </row>
    <row r="34" spans="1:10" ht="14" x14ac:dyDescent="0.15">
      <c r="A34" s="205">
        <v>11</v>
      </c>
      <c r="B34" s="206"/>
      <c r="C34" s="225">
        <v>0</v>
      </c>
      <c r="D34" s="207">
        <f>IF($G$12&lt;=10,0,'Spec. systeem'!$E$19)</f>
        <v>-1.536</v>
      </c>
      <c r="E34" s="208">
        <f t="shared" si="0"/>
        <v>1.536</v>
      </c>
      <c r="F34" s="209">
        <f t="shared" si="1"/>
        <v>0.59707088046660728</v>
      </c>
      <c r="G34" s="210">
        <f t="shared" si="2"/>
        <v>0.91710087239670879</v>
      </c>
      <c r="H34" s="61"/>
      <c r="I34" s="84">
        <f t="shared" si="3"/>
        <v>1.6748430257032565</v>
      </c>
      <c r="J34" s="85">
        <f t="shared" si="4"/>
        <v>0.59707088046660728</v>
      </c>
    </row>
    <row r="35" spans="1:10" ht="14" x14ac:dyDescent="0.15">
      <c r="A35" s="198">
        <v>12</v>
      </c>
      <c r="B35" s="206"/>
      <c r="C35" s="225">
        <v>0</v>
      </c>
      <c r="D35" s="207">
        <f>IF($G$12&lt;=11,0,'Spec. systeem'!$E$19)</f>
        <v>-1.536</v>
      </c>
      <c r="E35" s="208">
        <f t="shared" si="0"/>
        <v>1.536</v>
      </c>
      <c r="F35" s="209">
        <f t="shared" si="1"/>
        <v>0.56972412258264038</v>
      </c>
      <c r="G35" s="210">
        <f t="shared" si="2"/>
        <v>0.87509625228693566</v>
      </c>
      <c r="H35" s="61"/>
      <c r="I35" s="84">
        <f t="shared" si="3"/>
        <v>1.7552354909370134</v>
      </c>
      <c r="J35" s="85">
        <f t="shared" si="4"/>
        <v>0.56972412258264038</v>
      </c>
    </row>
    <row r="36" spans="1:10" ht="14" x14ac:dyDescent="0.15">
      <c r="A36" s="205">
        <v>13</v>
      </c>
      <c r="B36" s="206"/>
      <c r="C36" s="225">
        <v>0</v>
      </c>
      <c r="D36" s="207">
        <f>IF($G$12&lt;=12,0,'Spec. systeem'!$E$19)</f>
        <v>-1.536</v>
      </c>
      <c r="E36" s="208">
        <f t="shared" si="0"/>
        <v>1.536</v>
      </c>
      <c r="F36" s="209">
        <f t="shared" si="1"/>
        <v>0.5436298879605348</v>
      </c>
      <c r="G36" s="210">
        <f t="shared" si="2"/>
        <v>0.83501550790738144</v>
      </c>
      <c r="H36" s="61"/>
      <c r="I36" s="84">
        <f t="shared" si="3"/>
        <v>1.8394867945019899</v>
      </c>
      <c r="J36" s="85">
        <f t="shared" si="4"/>
        <v>0.5436298879605348</v>
      </c>
    </row>
    <row r="37" spans="1:10" ht="14" x14ac:dyDescent="0.15">
      <c r="A37" s="205">
        <v>14</v>
      </c>
      <c r="B37" s="206"/>
      <c r="C37" s="225">
        <v>0</v>
      </c>
      <c r="D37" s="207">
        <f>IF($G$12&lt;=13,0,'Spec. systeem'!$E$19)</f>
        <v>-1.536</v>
      </c>
      <c r="E37" s="208">
        <f t="shared" si="0"/>
        <v>1.536</v>
      </c>
      <c r="F37" s="209">
        <f t="shared" si="1"/>
        <v>0.51873080912264757</v>
      </c>
      <c r="G37" s="210">
        <f t="shared" si="2"/>
        <v>0.79677052281238669</v>
      </c>
      <c r="H37" s="61"/>
      <c r="I37" s="84">
        <f t="shared" si="3"/>
        <v>1.9277821606380858</v>
      </c>
      <c r="J37" s="85">
        <f t="shared" si="4"/>
        <v>0.51873080912264757</v>
      </c>
    </row>
    <row r="38" spans="1:10" ht="14" x14ac:dyDescent="0.15">
      <c r="A38" s="198">
        <v>15</v>
      </c>
      <c r="B38" s="206"/>
      <c r="C38" s="225">
        <v>0</v>
      </c>
      <c r="D38" s="207">
        <f>IF($G$12&lt;=14,0,'Spec. systeem'!$E$19)</f>
        <v>-1.536</v>
      </c>
      <c r="E38" s="208">
        <f t="shared" si="0"/>
        <v>1.536</v>
      </c>
      <c r="F38" s="209">
        <f t="shared" si="1"/>
        <v>0.4949721461093966</v>
      </c>
      <c r="G38" s="210">
        <f t="shared" si="2"/>
        <v>0.76027721642403323</v>
      </c>
      <c r="H38" s="61"/>
      <c r="I38" s="84">
        <f t="shared" si="3"/>
        <v>2.0203157043487137</v>
      </c>
      <c r="J38" s="85">
        <f t="shared" si="4"/>
        <v>0.4949721461093966</v>
      </c>
    </row>
    <row r="39" spans="1:10" ht="14" x14ac:dyDescent="0.15">
      <c r="A39" s="205">
        <v>16</v>
      </c>
      <c r="B39" s="206"/>
      <c r="C39" s="225">
        <v>0</v>
      </c>
      <c r="D39" s="207">
        <f>IF($G$12&lt;=15,0,'Spec. systeem'!$E$19)</f>
        <v>-1.536</v>
      </c>
      <c r="E39" s="208">
        <f t="shared" si="0"/>
        <v>1.536</v>
      </c>
      <c r="F39" s="209">
        <f t="shared" si="1"/>
        <v>0.47230166613492025</v>
      </c>
      <c r="G39" s="210">
        <f t="shared" si="2"/>
        <v>0.72545535918323756</v>
      </c>
      <c r="H39" s="61"/>
      <c r="I39" s="84">
        <f t="shared" si="3"/>
        <v>2.1172908581574528</v>
      </c>
      <c r="J39" s="85">
        <f t="shared" si="4"/>
        <v>0.47230166613492025</v>
      </c>
    </row>
    <row r="40" spans="1:10" ht="14" x14ac:dyDescent="0.15">
      <c r="A40" s="205">
        <v>17</v>
      </c>
      <c r="B40" s="206"/>
      <c r="C40" s="225">
        <v>0</v>
      </c>
      <c r="D40" s="207">
        <f>IF($G$12&lt;=16,0,'Spec. systeem'!$E$19)</f>
        <v>-1.536</v>
      </c>
      <c r="E40" s="208">
        <f t="shared" si="0"/>
        <v>1.536</v>
      </c>
      <c r="F40" s="209">
        <f t="shared" si="1"/>
        <v>0.45066952875469485</v>
      </c>
      <c r="G40" s="210">
        <f t="shared" si="2"/>
        <v>0.69222839616721132</v>
      </c>
      <c r="H40" s="61"/>
      <c r="I40" s="84">
        <f t="shared" si="3"/>
        <v>2.2189208193490106</v>
      </c>
      <c r="J40" s="85">
        <f t="shared" si="4"/>
        <v>0.45066952875469485</v>
      </c>
    </row>
    <row r="41" spans="1:10" ht="14" x14ac:dyDescent="0.15">
      <c r="A41" s="198">
        <v>18</v>
      </c>
      <c r="B41" s="206"/>
      <c r="C41" s="225">
        <v>0</v>
      </c>
      <c r="D41" s="207">
        <f>IF($G$12&lt;=17,0,'Spec. systeem'!$E$19)</f>
        <v>-1.536</v>
      </c>
      <c r="E41" s="208">
        <f t="shared" si="0"/>
        <v>1.536</v>
      </c>
      <c r="F41" s="209">
        <f t="shared" si="1"/>
        <v>0.43002817629264767</v>
      </c>
      <c r="G41" s="210">
        <f t="shared" si="2"/>
        <v>0.66052327878550687</v>
      </c>
      <c r="H41" s="61"/>
      <c r="I41" s="84">
        <f t="shared" si="3"/>
        <v>2.3254290186777635</v>
      </c>
      <c r="J41" s="85">
        <f t="shared" si="4"/>
        <v>0.43002817629264767</v>
      </c>
    </row>
    <row r="42" spans="1:10" ht="14" x14ac:dyDescent="0.15">
      <c r="A42" s="205">
        <v>19</v>
      </c>
      <c r="B42" s="206"/>
      <c r="C42" s="225">
        <v>0</v>
      </c>
      <c r="D42" s="207">
        <f>IF($G$12&lt;=18,0,'Spec. systeem'!$E$19)</f>
        <v>-1.536</v>
      </c>
      <c r="E42" s="208">
        <f t="shared" si="0"/>
        <v>1.536</v>
      </c>
      <c r="F42" s="209">
        <f t="shared" si="1"/>
        <v>0.41033222928687763</v>
      </c>
      <c r="G42" s="210">
        <f t="shared" si="2"/>
        <v>0.63027030418464403</v>
      </c>
      <c r="H42" s="61"/>
      <c r="I42" s="84">
        <f t="shared" si="3"/>
        <v>2.4370496115742957</v>
      </c>
      <c r="J42" s="85">
        <f t="shared" si="4"/>
        <v>0.41033222928687763</v>
      </c>
    </row>
    <row r="43" spans="1:10" ht="14" x14ac:dyDescent="0.15">
      <c r="A43" s="333">
        <v>20</v>
      </c>
      <c r="B43" s="206"/>
      <c r="C43" s="225">
        <v>0</v>
      </c>
      <c r="D43" s="207">
        <f>IF($G$12&lt;=19,0,'Spec. systeem'!$E$19+'Spec. systeem'!E47)</f>
        <v>-4.4359999999999999</v>
      </c>
      <c r="E43" s="208">
        <f t="shared" si="0"/>
        <v>4.4359999999999999</v>
      </c>
      <c r="F43" s="209">
        <f t="shared" si="1"/>
        <v>0.39153838672411972</v>
      </c>
      <c r="G43" s="210">
        <f t="shared" si="2"/>
        <v>1.7368642835081951</v>
      </c>
      <c r="H43" s="61"/>
      <c r="I43" s="84">
        <f t="shared" si="3"/>
        <v>2.5540279929298628</v>
      </c>
      <c r="J43" s="85">
        <f t="shared" si="4"/>
        <v>0.39153838672411972</v>
      </c>
    </row>
    <row r="44" spans="1:10" ht="14" x14ac:dyDescent="0.15">
      <c r="A44" s="198">
        <v>21</v>
      </c>
      <c r="B44" s="206"/>
      <c r="C44" s="225">
        <v>0</v>
      </c>
      <c r="D44" s="207">
        <f>IF($G$12&lt;=20,0,'Spec. systeem'!$E$19)</f>
        <v>-1.536</v>
      </c>
      <c r="E44" s="208">
        <f t="shared" si="0"/>
        <v>1.536</v>
      </c>
      <c r="F44" s="209">
        <f t="shared" si="1"/>
        <v>0.37360533084362568</v>
      </c>
      <c r="G44" s="210">
        <f t="shared" si="2"/>
        <v>0.57385778817580901</v>
      </c>
      <c r="H44" s="61"/>
      <c r="I44" s="84">
        <f t="shared" si="3"/>
        <v>2.6766213365904963</v>
      </c>
      <c r="J44" s="85">
        <f t="shared" si="4"/>
        <v>0.37360533084362568</v>
      </c>
    </row>
    <row r="45" spans="1:10" ht="14" x14ac:dyDescent="0.15">
      <c r="A45" s="205">
        <v>22</v>
      </c>
      <c r="B45" s="206"/>
      <c r="C45" s="225">
        <v>0</v>
      </c>
      <c r="D45" s="207">
        <f>IF($G$12&lt;=21,0,'Spec. systeem'!$E$19)</f>
        <v>-1.536</v>
      </c>
      <c r="E45" s="208">
        <f t="shared" si="0"/>
        <v>1.536</v>
      </c>
      <c r="F45" s="209">
        <f t="shared" si="1"/>
        <v>0.35649363630116954</v>
      </c>
      <c r="G45" s="210">
        <f t="shared" si="2"/>
        <v>0.54757422535859646</v>
      </c>
      <c r="H45" s="61"/>
      <c r="I45" s="84">
        <f t="shared" si="3"/>
        <v>2.8050991607468405</v>
      </c>
      <c r="J45" s="85">
        <f t="shared" si="4"/>
        <v>0.35649363630116954</v>
      </c>
    </row>
    <row r="46" spans="1:10" ht="14" x14ac:dyDescent="0.15">
      <c r="A46" s="205">
        <v>23</v>
      </c>
      <c r="B46" s="206"/>
      <c r="C46" s="225">
        <v>0</v>
      </c>
      <c r="D46" s="207">
        <f>IF($G$12&lt;=22,0,'Spec. systeem'!$E$19)</f>
        <v>-1.536</v>
      </c>
      <c r="E46" s="208">
        <f t="shared" si="0"/>
        <v>1.536</v>
      </c>
      <c r="F46" s="209">
        <f t="shared" si="1"/>
        <v>0.34016568349348236</v>
      </c>
      <c r="G46" s="210">
        <f t="shared" si="2"/>
        <v>0.5224944898459889</v>
      </c>
      <c r="H46" s="61"/>
      <c r="I46" s="84">
        <f t="shared" si="3"/>
        <v>2.9397439204626887</v>
      </c>
      <c r="J46" s="85">
        <f t="shared" si="4"/>
        <v>0.34016568349348236</v>
      </c>
    </row>
    <row r="47" spans="1:10" ht="14" x14ac:dyDescent="0.15">
      <c r="A47" s="198">
        <v>24</v>
      </c>
      <c r="B47" s="206"/>
      <c r="C47" s="225">
        <v>0</v>
      </c>
      <c r="D47" s="207">
        <f>IF($G$12&lt;=23,0,'Spec. systeem'!$E$19)</f>
        <v>-1.536</v>
      </c>
      <c r="E47" s="208">
        <f t="shared" si="0"/>
        <v>1.536</v>
      </c>
      <c r="F47" s="209">
        <f t="shared" si="1"/>
        <v>0.32458557585255948</v>
      </c>
      <c r="G47" s="210">
        <f t="shared" si="2"/>
        <v>0.49856344450953138</v>
      </c>
      <c r="H47" s="61"/>
      <c r="I47" s="84">
        <f t="shared" si="3"/>
        <v>3.0808516286448984</v>
      </c>
      <c r="J47" s="85">
        <f t="shared" si="4"/>
        <v>0.32458557585255948</v>
      </c>
    </row>
    <row r="48" spans="1:10" ht="14" x14ac:dyDescent="0.15">
      <c r="A48" s="205">
        <v>25</v>
      </c>
      <c r="B48" s="206"/>
      <c r="C48" s="225">
        <v>0</v>
      </c>
      <c r="D48" s="207">
        <f>IF($G$12&lt;=24,0,'Spec. systeem'!$E$19)</f>
        <v>-1.536</v>
      </c>
      <c r="E48" s="208">
        <f t="shared" si="0"/>
        <v>1.536</v>
      </c>
      <c r="F48" s="209">
        <f t="shared" si="1"/>
        <v>0.30971906092801477</v>
      </c>
      <c r="G48" s="210">
        <f t="shared" si="2"/>
        <v>0.47572847758543069</v>
      </c>
      <c r="H48" s="61"/>
      <c r="I48" s="84">
        <f t="shared" si="3"/>
        <v>3.2287325068198536</v>
      </c>
      <c r="J48" s="85">
        <f t="shared" si="4"/>
        <v>0.30971906092801477</v>
      </c>
    </row>
    <row r="49" spans="1:10" ht="14" x14ac:dyDescent="0.15">
      <c r="A49" s="205">
        <v>26</v>
      </c>
      <c r="B49" s="206"/>
      <c r="C49" s="225">
        <v>0</v>
      </c>
      <c r="D49" s="207">
        <f>IF($G$12&lt;=25,0,'Spec. systeem'!$E$19)</f>
        <v>-1.536</v>
      </c>
      <c r="E49" s="208">
        <f t="shared" si="0"/>
        <v>1.536</v>
      </c>
      <c r="F49" s="209">
        <f t="shared" si="1"/>
        <v>0.29553345508398354</v>
      </c>
      <c r="G49" s="210">
        <f t="shared" si="2"/>
        <v>0.45393938700899872</v>
      </c>
      <c r="H49" s="61"/>
      <c r="I49" s="84">
        <f t="shared" si="3"/>
        <v>3.3837116671472067</v>
      </c>
      <c r="J49" s="85">
        <f t="shared" si="4"/>
        <v>0.29553345508398354</v>
      </c>
    </row>
    <row r="50" spans="1:10" ht="14" x14ac:dyDescent="0.15">
      <c r="A50" s="198">
        <v>27</v>
      </c>
      <c r="B50" s="206"/>
      <c r="C50" s="225">
        <v>0</v>
      </c>
      <c r="D50" s="207">
        <f>IF($G$12&lt;=26,0,'Spec. systeem'!$E$19)</f>
        <v>-1.536</v>
      </c>
      <c r="E50" s="208">
        <f t="shared" si="0"/>
        <v>1.536</v>
      </c>
      <c r="F50" s="209">
        <f t="shared" si="1"/>
        <v>0.28199757164502243</v>
      </c>
      <c r="G50" s="210">
        <f t="shared" si="2"/>
        <v>0.43314827004675444</v>
      </c>
      <c r="H50" s="61"/>
      <c r="I50" s="84">
        <f t="shared" si="3"/>
        <v>3.5461298271702728</v>
      </c>
      <c r="J50" s="85">
        <f t="shared" si="4"/>
        <v>0.28199757164502243</v>
      </c>
    </row>
    <row r="51" spans="1:10" ht="14" x14ac:dyDescent="0.15">
      <c r="A51" s="205">
        <v>28</v>
      </c>
      <c r="B51" s="206"/>
      <c r="C51" s="225">
        <v>0</v>
      </c>
      <c r="D51" s="207">
        <f>IF($G$12&lt;=27,0,'Spec. systeem'!$E$19)</f>
        <v>-1.536</v>
      </c>
      <c r="E51" s="208">
        <f t="shared" si="0"/>
        <v>1.536</v>
      </c>
      <c r="F51" s="209">
        <f t="shared" si="1"/>
        <v>0.2690816523330366</v>
      </c>
      <c r="G51" s="210">
        <f t="shared" si="2"/>
        <v>0.4133094179835442</v>
      </c>
      <c r="H51" s="61"/>
      <c r="I51" s="84">
        <f t="shared" si="3"/>
        <v>3.716344058874447</v>
      </c>
      <c r="J51" s="85">
        <f t="shared" si="4"/>
        <v>0.2690816523330366</v>
      </c>
    </row>
    <row r="52" spans="1:10" ht="14" x14ac:dyDescent="0.15">
      <c r="A52" s="205">
        <v>29</v>
      </c>
      <c r="B52" s="206"/>
      <c r="C52" s="225">
        <v>0</v>
      </c>
      <c r="D52" s="207">
        <f>IF($G$12&lt;=28,0,'Spec. systeem'!$E$19)</f>
        <v>-1.536</v>
      </c>
      <c r="E52" s="208">
        <f t="shared" si="0"/>
        <v>1.536</v>
      </c>
      <c r="F52" s="209">
        <f t="shared" si="1"/>
        <v>0.25675730184450057</v>
      </c>
      <c r="G52" s="210">
        <f t="shared" si="2"/>
        <v>0.39437921563315287</v>
      </c>
      <c r="H52" s="61"/>
      <c r="I52" s="84">
        <f t="shared" si="3"/>
        <v>3.8947285737004202</v>
      </c>
      <c r="J52" s="85">
        <f t="shared" si="4"/>
        <v>0.25675730184450057</v>
      </c>
    </row>
    <row r="53" spans="1:10" ht="14" x14ac:dyDescent="0.15">
      <c r="A53" s="198">
        <v>30</v>
      </c>
      <c r="B53" s="206"/>
      <c r="C53" s="225">
        <v>0</v>
      </c>
      <c r="D53" s="207">
        <f>IF($G$12&lt;=29,0,'Spec. systeem'!$E$19)</f>
        <v>-1.536</v>
      </c>
      <c r="E53" s="208">
        <f t="shared" si="0"/>
        <v>1.536</v>
      </c>
      <c r="F53" s="209">
        <f t="shared" si="1"/>
        <v>0.24499742542414174</v>
      </c>
      <c r="G53" s="210">
        <f t="shared" si="2"/>
        <v>0.37631604545148173</v>
      </c>
      <c r="H53" s="61"/>
      <c r="I53" s="84">
        <f t="shared" si="3"/>
        <v>4.0816755452380411</v>
      </c>
      <c r="J53" s="85">
        <f t="shared" si="4"/>
        <v>0.24499742542414174</v>
      </c>
    </row>
    <row r="54" spans="1:10" ht="14" x14ac:dyDescent="0.15">
      <c r="A54" s="205">
        <v>31</v>
      </c>
      <c r="B54" s="206"/>
      <c r="C54" s="225">
        <v>0</v>
      </c>
      <c r="D54" s="207">
        <f>IF($G$12&lt;=30,0,'Spec. systeem'!$E$19)</f>
        <v>-1.536</v>
      </c>
      <c r="E54" s="208">
        <f t="shared" si="0"/>
        <v>1.536</v>
      </c>
      <c r="F54" s="209">
        <f t="shared" si="1"/>
        <v>0.2337761692978452</v>
      </c>
      <c r="G54" s="210">
        <f t="shared" si="2"/>
        <v>0.35908019604149022</v>
      </c>
      <c r="H54" s="61"/>
      <c r="I54" s="84">
        <f t="shared" si="3"/>
        <v>4.2775959714094665</v>
      </c>
      <c r="J54" s="85">
        <f t="shared" si="4"/>
        <v>0.2337761692978452</v>
      </c>
    </row>
    <row r="55" spans="1:10" ht="14" x14ac:dyDescent="0.15">
      <c r="A55" s="205">
        <v>32</v>
      </c>
      <c r="B55" s="206"/>
      <c r="C55" s="225">
        <v>0</v>
      </c>
      <c r="D55" s="207">
        <f>IF($G$12&lt;=31,0,'Spec. systeem'!$E$19)</f>
        <v>-1.536</v>
      </c>
      <c r="E55" s="208">
        <f t="shared" si="0"/>
        <v>1.536</v>
      </c>
      <c r="F55" s="209">
        <f t="shared" si="1"/>
        <v>0.22306886383382163</v>
      </c>
      <c r="G55" s="210">
        <f t="shared" si="2"/>
        <v>0.34263377484875002</v>
      </c>
      <c r="H55" s="61"/>
      <c r="I55" s="84">
        <f t="shared" si="3"/>
        <v>4.4829205780371231</v>
      </c>
      <c r="J55" s="85">
        <f t="shared" si="4"/>
        <v>0.22306886383382163</v>
      </c>
    </row>
    <row r="56" spans="1:10" ht="14" x14ac:dyDescent="0.15">
      <c r="A56" s="198">
        <v>33</v>
      </c>
      <c r="B56" s="206"/>
      <c r="C56" s="225">
        <v>0</v>
      </c>
      <c r="D56" s="207">
        <f>IF($G$12&lt;=32,0,'Spec. systeem'!$E$19)</f>
        <v>-1.536</v>
      </c>
      <c r="E56" s="208">
        <f t="shared" ref="E56:E73" si="5">C56-D56</f>
        <v>1.536</v>
      </c>
      <c r="F56" s="209">
        <f t="shared" si="1"/>
        <v>0.21285196930708172</v>
      </c>
      <c r="G56" s="210">
        <f t="shared" si="2"/>
        <v>0.32694062485567754</v>
      </c>
      <c r="H56" s="61"/>
      <c r="I56" s="84">
        <f t="shared" si="3"/>
        <v>4.6981007657829048</v>
      </c>
      <c r="J56" s="85">
        <f t="shared" si="4"/>
        <v>0.21285196930708172</v>
      </c>
    </row>
    <row r="57" spans="1:10" ht="14" x14ac:dyDescent="0.15">
      <c r="A57" s="205">
        <v>34</v>
      </c>
      <c r="B57" s="206"/>
      <c r="C57" s="225">
        <v>0</v>
      </c>
      <c r="D57" s="207">
        <f>IF($G$12&lt;=33,0,'Spec. systeem'!$E$19)</f>
        <v>-1.536</v>
      </c>
      <c r="E57" s="208">
        <f t="shared" si="5"/>
        <v>1.536</v>
      </c>
      <c r="F57" s="209">
        <f t="shared" si="1"/>
        <v>0.20310302414797871</v>
      </c>
      <c r="G57" s="210">
        <f t="shared" si="2"/>
        <v>0.31196624509129528</v>
      </c>
      <c r="H57" s="61"/>
      <c r="I57" s="84">
        <f t="shared" si="3"/>
        <v>4.923609602540485</v>
      </c>
      <c r="J57" s="85">
        <f t="shared" si="4"/>
        <v>0.20310302414797871</v>
      </c>
    </row>
    <row r="58" spans="1:10" ht="14" x14ac:dyDescent="0.15">
      <c r="A58" s="205">
        <v>35</v>
      </c>
      <c r="B58" s="206"/>
      <c r="C58" s="225">
        <v>0</v>
      </c>
      <c r="D58" s="207">
        <f>IF($G$12&lt;=34,0,'Spec. systeem'!$E$19)</f>
        <v>-1.536</v>
      </c>
      <c r="E58" s="208">
        <f t="shared" si="5"/>
        <v>1.536</v>
      </c>
      <c r="F58" s="209">
        <f t="shared" si="1"/>
        <v>0.19380059556104842</v>
      </c>
      <c r="G58" s="210">
        <f t="shared" si="2"/>
        <v>0.29767771478177041</v>
      </c>
      <c r="H58" s="61"/>
      <c r="I58" s="84">
        <f t="shared" si="3"/>
        <v>5.1599428634624278</v>
      </c>
      <c r="J58" s="85">
        <f t="shared" si="4"/>
        <v>0.19380059556104842</v>
      </c>
    </row>
    <row r="59" spans="1:10" ht="14" x14ac:dyDescent="0.15">
      <c r="A59" s="198">
        <v>36</v>
      </c>
      <c r="B59" s="206"/>
      <c r="C59" s="225">
        <v>0</v>
      </c>
      <c r="D59" s="207">
        <f>IF($G$12&lt;=35,0,'Spec. systeem'!$E$19)</f>
        <v>-1.536</v>
      </c>
      <c r="E59" s="208">
        <f t="shared" si="5"/>
        <v>1.536</v>
      </c>
      <c r="F59" s="209">
        <f t="shared" si="1"/>
        <v>0.18492423240558048</v>
      </c>
      <c r="G59" s="210">
        <f t="shared" si="2"/>
        <v>0.2840436209749716</v>
      </c>
      <c r="H59" s="61"/>
      <c r="I59" s="84">
        <f t="shared" si="3"/>
        <v>5.4076201209086259</v>
      </c>
      <c r="J59" s="85">
        <f t="shared" si="4"/>
        <v>0.18492423240558048</v>
      </c>
    </row>
    <row r="60" spans="1:10" ht="14" x14ac:dyDescent="0.15">
      <c r="A60" s="205">
        <v>37</v>
      </c>
      <c r="B60" s="206"/>
      <c r="C60" s="225">
        <v>0</v>
      </c>
      <c r="D60" s="207">
        <f>IF($G$12&lt;=36,0,'Spec. systeem'!$E$19)</f>
        <v>-1.536</v>
      </c>
      <c r="E60" s="208">
        <f t="shared" si="5"/>
        <v>1.536</v>
      </c>
      <c r="F60" s="209">
        <f t="shared" si="1"/>
        <v>0.1764544202343325</v>
      </c>
      <c r="G60" s="210">
        <f t="shared" si="2"/>
        <v>0.27103398947993473</v>
      </c>
      <c r="H60" s="61"/>
      <c r="I60" s="84">
        <f t="shared" si="3"/>
        <v>5.6671858867122404</v>
      </c>
      <c r="J60" s="85">
        <f t="shared" si="4"/>
        <v>0.1764544202343325</v>
      </c>
    </row>
    <row r="61" spans="1:10" ht="14" x14ac:dyDescent="0.15">
      <c r="A61" s="205">
        <v>38</v>
      </c>
      <c r="B61" s="206"/>
      <c r="C61" s="225">
        <v>0</v>
      </c>
      <c r="D61" s="207">
        <f>IF($G$12&lt;=37,0,'Spec. systeem'!$E$19)</f>
        <v>-1.536</v>
      </c>
      <c r="E61" s="208">
        <f t="shared" si="5"/>
        <v>1.536</v>
      </c>
      <c r="F61" s="209">
        <f t="shared" si="1"/>
        <v>0.16837253839153862</v>
      </c>
      <c r="G61" s="210">
        <f t="shared" si="2"/>
        <v>0.25862021896940335</v>
      </c>
      <c r="H61" s="61"/>
      <c r="I61" s="84">
        <f t="shared" si="3"/>
        <v>5.9392108092744289</v>
      </c>
      <c r="J61" s="85">
        <f t="shared" si="4"/>
        <v>0.16837253839153862</v>
      </c>
    </row>
    <row r="62" spans="1:10" ht="14" x14ac:dyDescent="0.15">
      <c r="A62" s="198">
        <v>39</v>
      </c>
      <c r="B62" s="206"/>
      <c r="C62" s="225">
        <v>0</v>
      </c>
      <c r="D62" s="207">
        <f>IF($G$12&lt;=38,0,'Spec. systeem'!$E$19)</f>
        <v>-1.536</v>
      </c>
      <c r="E62" s="208">
        <f t="shared" si="5"/>
        <v>1.536</v>
      </c>
      <c r="F62" s="209">
        <f t="shared" si="1"/>
        <v>0.16066081907589566</v>
      </c>
      <c r="G62" s="210">
        <f t="shared" si="2"/>
        <v>0.24677501810057573</v>
      </c>
      <c r="H62" s="61"/>
      <c r="I62" s="84">
        <f t="shared" si="3"/>
        <v>6.2242929281196009</v>
      </c>
      <c r="J62" s="85">
        <f t="shared" si="4"/>
        <v>0.16066081907589566</v>
      </c>
    </row>
    <row r="63" spans="1:10" ht="14" x14ac:dyDescent="0.15">
      <c r="A63" s="333">
        <v>40</v>
      </c>
      <c r="B63" s="206"/>
      <c r="C63" s="225">
        <v>0</v>
      </c>
      <c r="D63" s="207">
        <f>IF($G$12&lt;=39,0,'Spec. systeem'!$E$19+'Spec. systeem'!E47)</f>
        <v>-4.4359999999999999</v>
      </c>
      <c r="E63" s="208">
        <f t="shared" si="5"/>
        <v>4.4359999999999999</v>
      </c>
      <c r="F63" s="209">
        <f t="shared" si="1"/>
        <v>0.15330230827852634</v>
      </c>
      <c r="G63" s="210">
        <f t="shared" si="2"/>
        <v>0.68004903952354279</v>
      </c>
      <c r="H63" s="61"/>
      <c r="I63" s="84">
        <f t="shared" si="3"/>
        <v>6.5230589886693435</v>
      </c>
      <c r="J63" s="85">
        <f t="shared" si="4"/>
        <v>0.15330230827852634</v>
      </c>
    </row>
    <row r="64" spans="1:10" ht="14" x14ac:dyDescent="0.15">
      <c r="A64" s="205">
        <v>41</v>
      </c>
      <c r="B64" s="206"/>
      <c r="C64" s="225">
        <v>0</v>
      </c>
      <c r="D64" s="207">
        <f>IF($G$12&lt;=40,0,'Spec. systeem'!$E$19)</f>
        <v>-1.536</v>
      </c>
      <c r="E64" s="208">
        <f t="shared" si="5"/>
        <v>1.536</v>
      </c>
      <c r="F64" s="209">
        <f t="shared" si="1"/>
        <v>0.14628082851004423</v>
      </c>
      <c r="G64" s="210">
        <f t="shared" si="2"/>
        <v>0.22468735259142794</v>
      </c>
      <c r="H64" s="61"/>
      <c r="I64" s="84">
        <f t="shared" si="3"/>
        <v>6.8361658201254718</v>
      </c>
      <c r="J64" s="85">
        <f t="shared" si="4"/>
        <v>0.14628082851004423</v>
      </c>
    </row>
    <row r="65" spans="1:10" ht="14" x14ac:dyDescent="0.15">
      <c r="A65" s="198">
        <v>42</v>
      </c>
      <c r="B65" s="206"/>
      <c r="C65" s="225">
        <v>0</v>
      </c>
      <c r="D65" s="207">
        <f>IF($G$12&lt;=41,0,'Spec. systeem'!$E$19)</f>
        <v>-1.536</v>
      </c>
      <c r="E65" s="208">
        <f t="shared" si="5"/>
        <v>1.536</v>
      </c>
      <c r="F65" s="209">
        <f t="shared" si="1"/>
        <v>0.13958094323477502</v>
      </c>
      <c r="G65" s="210">
        <f t="shared" si="2"/>
        <v>0.21439632880861442</v>
      </c>
      <c r="H65" s="61"/>
      <c r="I65" s="84">
        <f t="shared" si="3"/>
        <v>7.1643017794914954</v>
      </c>
      <c r="J65" s="85">
        <f t="shared" si="4"/>
        <v>0.13958094323477502</v>
      </c>
    </row>
    <row r="66" spans="1:10" ht="14" x14ac:dyDescent="0.15">
      <c r="A66" s="205">
        <v>43</v>
      </c>
      <c r="B66" s="206"/>
      <c r="C66" s="225">
        <v>0</v>
      </c>
      <c r="D66" s="207">
        <f>IF($G$12&lt;=42,0,'Spec. systeem'!$E$19)</f>
        <v>-1.536</v>
      </c>
      <c r="E66" s="208">
        <f t="shared" si="5"/>
        <v>1.536</v>
      </c>
      <c r="F66" s="209">
        <f t="shared" si="1"/>
        <v>0.13318792293394563</v>
      </c>
      <c r="G66" s="210">
        <f t="shared" si="2"/>
        <v>0.20457664962654049</v>
      </c>
      <c r="H66" s="61"/>
      <c r="I66" s="84">
        <f t="shared" si="3"/>
        <v>7.508188264907087</v>
      </c>
      <c r="J66" s="85">
        <f t="shared" si="4"/>
        <v>0.13318792293394563</v>
      </c>
    </row>
    <row r="67" spans="1:10" ht="14" x14ac:dyDescent="0.15">
      <c r="A67" s="205">
        <v>44</v>
      </c>
      <c r="B67" s="206"/>
      <c r="C67" s="225">
        <v>0</v>
      </c>
      <c r="D67" s="207">
        <f>IF($G$12&lt;=43,0,'Spec. systeem'!$E$19)</f>
        <v>-1.536</v>
      </c>
      <c r="E67" s="208">
        <f t="shared" si="5"/>
        <v>1.536</v>
      </c>
      <c r="F67" s="209">
        <f t="shared" si="1"/>
        <v>0.12708771272323052</v>
      </c>
      <c r="G67" s="210">
        <f t="shared" si="2"/>
        <v>0.19520672674288209</v>
      </c>
      <c r="H67" s="61"/>
      <c r="I67" s="84">
        <f t="shared" si="3"/>
        <v>7.8685813016226298</v>
      </c>
      <c r="J67" s="85">
        <f t="shared" si="4"/>
        <v>0.12708771272323052</v>
      </c>
    </row>
    <row r="68" spans="1:10" ht="14" x14ac:dyDescent="0.15">
      <c r="A68" s="198">
        <v>45</v>
      </c>
      <c r="B68" s="206"/>
      <c r="C68" s="225">
        <v>0</v>
      </c>
      <c r="D68" s="207">
        <f>IF($G$12&lt;=44,0,'Spec. systeem'!$E$19)</f>
        <v>-1.536</v>
      </c>
      <c r="E68" s="208">
        <f t="shared" si="5"/>
        <v>1.536</v>
      </c>
      <c r="F68" s="209">
        <f t="shared" si="1"/>
        <v>0.12126690145346425</v>
      </c>
      <c r="G68" s="210">
        <f t="shared" si="2"/>
        <v>0.1862659606325211</v>
      </c>
      <c r="H68" s="61"/>
      <c r="I68" s="84">
        <f t="shared" si="3"/>
        <v>8.2462732041005147</v>
      </c>
      <c r="J68" s="85">
        <f t="shared" si="4"/>
        <v>0.12126690145346425</v>
      </c>
    </row>
    <row r="69" spans="1:10" ht="14" x14ac:dyDescent="0.15">
      <c r="A69" s="205">
        <v>46</v>
      </c>
      <c r="B69" s="206"/>
      <c r="C69" s="225">
        <v>0</v>
      </c>
      <c r="D69" s="207">
        <f>IF($G$12&lt;=45,0,'Spec. systeem'!$E$19)</f>
        <v>-1.536</v>
      </c>
      <c r="E69" s="208">
        <f t="shared" si="5"/>
        <v>1.536</v>
      </c>
      <c r="F69" s="209">
        <f t="shared" si="1"/>
        <v>0.11571269222658799</v>
      </c>
      <c r="G69" s="210">
        <f t="shared" si="2"/>
        <v>0.17773469526003915</v>
      </c>
      <c r="H69" s="61"/>
      <c r="I69" s="84">
        <f t="shared" si="3"/>
        <v>8.6420943178973424</v>
      </c>
      <c r="J69" s="85">
        <f t="shared" si="4"/>
        <v>0.11571269222658799</v>
      </c>
    </row>
    <row r="70" spans="1:10" ht="14" x14ac:dyDescent="0.15">
      <c r="A70" s="205">
        <v>47</v>
      </c>
      <c r="B70" s="206"/>
      <c r="C70" s="225">
        <v>0</v>
      </c>
      <c r="D70" s="207">
        <f>IF($G$12&lt;=46,0,'Spec. systeem'!$E$19)</f>
        <v>-1.536</v>
      </c>
      <c r="E70" s="208">
        <f t="shared" si="5"/>
        <v>1.536</v>
      </c>
      <c r="F70" s="209">
        <f t="shared" si="1"/>
        <v>0.11041287426201145</v>
      </c>
      <c r="G70" s="210">
        <f t="shared" si="2"/>
        <v>0.16959417486644959</v>
      </c>
      <c r="H70" s="61"/>
      <c r="I70" s="84">
        <f t="shared" si="3"/>
        <v>9.0569148451564132</v>
      </c>
      <c r="J70" s="85">
        <f t="shared" si="4"/>
        <v>0.11041287426201145</v>
      </c>
    </row>
    <row r="71" spans="1:10" ht="14" x14ac:dyDescent="0.15">
      <c r="A71" s="205">
        <v>48</v>
      </c>
      <c r="B71" s="206"/>
      <c r="C71" s="225">
        <v>0</v>
      </c>
      <c r="D71" s="207">
        <f>IF($G$12&lt;=47,0,'Spec. systeem'!$E$19)</f>
        <v>-1.536</v>
      </c>
      <c r="E71" s="208">
        <f t="shared" si="5"/>
        <v>1.536</v>
      </c>
      <c r="F71" s="209">
        <f t="shared" si="1"/>
        <v>0.10535579605153762</v>
      </c>
      <c r="G71" s="210">
        <f t="shared" si="2"/>
        <v>0.1618265027351618</v>
      </c>
      <c r="H71" s="61"/>
      <c r="I71" s="84">
        <f t="shared" si="3"/>
        <v>9.4916467577239239</v>
      </c>
      <c r="J71" s="85">
        <f t="shared" si="4"/>
        <v>0.10535579605153762</v>
      </c>
    </row>
    <row r="72" spans="1:10" ht="14" x14ac:dyDescent="0.15">
      <c r="A72" s="205">
        <v>49</v>
      </c>
      <c r="B72" s="206"/>
      <c r="C72" s="225">
        <v>0</v>
      </c>
      <c r="D72" s="207">
        <f>IF($G$12&lt;=48,0,'Spec. systeem'!$E$19)</f>
        <v>-1.536</v>
      </c>
      <c r="E72" s="208">
        <f t="shared" si="5"/>
        <v>1.536</v>
      </c>
      <c r="F72" s="209">
        <f t="shared" si="1"/>
        <v>0.10053033974383359</v>
      </c>
      <c r="G72" s="210">
        <f t="shared" si="2"/>
        <v>0.15441460184652839</v>
      </c>
      <c r="H72" s="61"/>
      <c r="I72" s="84">
        <f t="shared" si="3"/>
        <v>9.9472458020946739</v>
      </c>
      <c r="J72" s="85">
        <f t="shared" si="4"/>
        <v>0.10053033974383359</v>
      </c>
    </row>
    <row r="73" spans="1:10" ht="14" x14ac:dyDescent="0.15">
      <c r="A73" s="205">
        <v>50</v>
      </c>
      <c r="B73" s="206"/>
      <c r="C73" s="225">
        <v>0</v>
      </c>
      <c r="D73" s="207">
        <f>IF($G$12&lt;=49,0,'Spec. systeem'!$E$19)</f>
        <v>-1.536</v>
      </c>
      <c r="E73" s="208">
        <f t="shared" si="5"/>
        <v>1.536</v>
      </c>
      <c r="F73" s="209">
        <f t="shared" si="1"/>
        <v>9.5925896702131266E-2</v>
      </c>
      <c r="G73" s="210">
        <f t="shared" si="2"/>
        <v>0.14734217733447363</v>
      </c>
      <c r="H73" s="61"/>
      <c r="I73" s="84">
        <f t="shared" si="3"/>
        <v>10.42471360059522</v>
      </c>
      <c r="J73" s="85">
        <f t="shared" si="4"/>
        <v>9.5925896702131266E-2</v>
      </c>
    </row>
    <row r="74" spans="1:10" ht="15" thickBot="1" x14ac:dyDescent="0.2">
      <c r="A74" s="211"/>
      <c r="B74" s="212"/>
      <c r="C74" s="211"/>
      <c r="D74" s="213"/>
      <c r="E74" s="211"/>
      <c r="F74" s="214"/>
      <c r="G74" s="215"/>
      <c r="H74" s="33"/>
      <c r="I74" s="86"/>
      <c r="J74" s="87"/>
    </row>
    <row r="75" spans="1:10" ht="15" thickBot="1" x14ac:dyDescent="0.2">
      <c r="A75" s="43" t="s">
        <v>9</v>
      </c>
      <c r="B75" s="44"/>
      <c r="C75" s="69">
        <f>SUM(C23:C74)</f>
        <v>0</v>
      </c>
      <c r="D75" s="70">
        <f>SUM(D23:D74)</f>
        <v>-82.600000000000051</v>
      </c>
      <c r="E75" s="69">
        <f>SUM(E23:E74)</f>
        <v>82.600000000000051</v>
      </c>
      <c r="F75" s="98"/>
      <c r="G75" s="45">
        <f>SUM(G24:G74)</f>
        <v>30.510409321039415</v>
      </c>
      <c r="H75" s="61"/>
      <c r="I75" s="4"/>
      <c r="J75" s="5"/>
    </row>
    <row r="76" spans="1:10" ht="14" x14ac:dyDescent="0.15">
      <c r="A76" s="42"/>
      <c r="B76" s="32"/>
      <c r="C76" s="42"/>
      <c r="D76" s="30"/>
      <c r="E76" s="42"/>
      <c r="F76" s="97"/>
      <c r="G76" s="30"/>
      <c r="H76" s="33"/>
      <c r="I76" s="4"/>
      <c r="J76" s="5"/>
    </row>
    <row r="77" spans="1:10" ht="14" x14ac:dyDescent="0.15">
      <c r="A77" s="198">
        <v>0</v>
      </c>
      <c r="B77" s="218" t="s">
        <v>10</v>
      </c>
      <c r="C77" s="219"/>
      <c r="D77" s="220">
        <f>C11</f>
        <v>-1390</v>
      </c>
      <c r="E77" s="202">
        <f>C77-D77</f>
        <v>1390</v>
      </c>
      <c r="F77" s="203">
        <f>J23</f>
        <v>1</v>
      </c>
      <c r="G77" s="220">
        <f>E77*F77</f>
        <v>1390</v>
      </c>
      <c r="H77" s="61"/>
      <c r="I77" s="4"/>
      <c r="J77" s="5"/>
    </row>
    <row r="78" spans="1:10" ht="14" x14ac:dyDescent="0.15">
      <c r="A78" s="205">
        <v>1</v>
      </c>
      <c r="B78" s="221" t="s">
        <v>10</v>
      </c>
      <c r="C78" s="222"/>
      <c r="D78" s="210">
        <f>C12</f>
        <v>0</v>
      </c>
      <c r="E78" s="208">
        <f>C78-D78</f>
        <v>0</v>
      </c>
      <c r="F78" s="209">
        <f>J24</f>
        <v>0.95419847328244267</v>
      </c>
      <c r="G78" s="210">
        <f>E78*F78</f>
        <v>0</v>
      </c>
      <c r="H78" s="61"/>
      <c r="I78" s="4"/>
      <c r="J78" s="5"/>
    </row>
    <row r="79" spans="1:10" ht="14" x14ac:dyDescent="0.15">
      <c r="A79" s="205">
        <v>2</v>
      </c>
      <c r="B79" s="221" t="s">
        <v>10</v>
      </c>
      <c r="C79" s="222"/>
      <c r="D79" s="210">
        <f>C13</f>
        <v>0</v>
      </c>
      <c r="E79" s="208">
        <f>C79-D79</f>
        <v>0</v>
      </c>
      <c r="F79" s="209">
        <f>J68</f>
        <v>0.12126690145346425</v>
      </c>
      <c r="G79" s="210">
        <f>E79*F79</f>
        <v>0</v>
      </c>
      <c r="H79" s="61"/>
      <c r="I79" s="4"/>
      <c r="J79" s="5"/>
    </row>
    <row r="80" spans="1:10" ht="15" thickBot="1" x14ac:dyDescent="0.2">
      <c r="A80" s="211"/>
      <c r="B80" s="212"/>
      <c r="C80" s="211"/>
      <c r="D80" s="215"/>
      <c r="E80" s="211"/>
      <c r="F80" s="214"/>
      <c r="G80" s="215"/>
      <c r="H80" s="33"/>
      <c r="I80" s="4"/>
      <c r="J80" s="5"/>
    </row>
    <row r="81" spans="1:10" ht="15" thickBot="1" x14ac:dyDescent="0.2">
      <c r="A81" s="43" t="s">
        <v>9</v>
      </c>
      <c r="B81" s="44" t="s">
        <v>10</v>
      </c>
      <c r="C81" s="43"/>
      <c r="D81" s="45">
        <f>SUM(D77:D80)</f>
        <v>-1390</v>
      </c>
      <c r="E81" s="43"/>
      <c r="F81" s="99"/>
      <c r="G81" s="45">
        <f>SUM(G77:G80)</f>
        <v>1390</v>
      </c>
      <c r="H81" s="61"/>
      <c r="I81" s="4"/>
      <c r="J81" s="5"/>
    </row>
    <row r="82" spans="1:10" ht="14" x14ac:dyDescent="0.15">
      <c r="A82" s="42"/>
      <c r="B82" s="32"/>
      <c r="C82" s="42"/>
      <c r="D82" s="30"/>
      <c r="E82" s="42"/>
      <c r="F82" s="97"/>
      <c r="G82" s="30"/>
      <c r="H82" s="33"/>
      <c r="I82" s="4"/>
      <c r="J82" s="5"/>
    </row>
    <row r="83" spans="1:10" ht="14" x14ac:dyDescent="0.15">
      <c r="A83" s="223">
        <f>G12</f>
        <v>50</v>
      </c>
      <c r="B83" s="218" t="s">
        <v>11</v>
      </c>
      <c r="C83" s="202">
        <f>IF(G11&gt;=0,G11,0)</f>
        <v>0</v>
      </c>
      <c r="D83" s="204">
        <f>IF(G11&lt;=0,G11,0)</f>
        <v>0</v>
      </c>
      <c r="E83" s="202">
        <f>C83-D83</f>
        <v>0</v>
      </c>
      <c r="F83" s="224">
        <f>1/(1+$G$13)^A83</f>
        <v>9.5925896702131266E-2</v>
      </c>
      <c r="G83" s="220">
        <f>E83*F83</f>
        <v>0</v>
      </c>
      <c r="H83" s="61"/>
      <c r="I83" s="4"/>
      <c r="J83" s="5"/>
    </row>
    <row r="84" spans="1:10" ht="15" thickBot="1" x14ac:dyDescent="0.2">
      <c r="A84" s="46"/>
      <c r="B84" s="47"/>
      <c r="C84" s="46"/>
      <c r="D84" s="48"/>
      <c r="E84" s="46"/>
      <c r="F84" s="100"/>
      <c r="G84" s="48"/>
      <c r="H84" s="62"/>
      <c r="I84" s="4"/>
      <c r="J84" s="5"/>
    </row>
    <row r="85" spans="1:10" ht="6.75" customHeight="1" thickBot="1" x14ac:dyDescent="0.2">
      <c r="A85" s="64"/>
      <c r="B85" s="65"/>
      <c r="C85" s="67"/>
      <c r="D85" s="68"/>
      <c r="E85" s="67"/>
      <c r="F85" s="101"/>
      <c r="G85" s="66"/>
      <c r="H85" s="62"/>
      <c r="I85" s="4"/>
      <c r="J85" s="5"/>
    </row>
    <row r="86" spans="1:10" ht="18" thickTop="1" thickBot="1" x14ac:dyDescent="0.25">
      <c r="A86" s="49" t="s">
        <v>8</v>
      </c>
      <c r="B86" s="102" t="s">
        <v>40</v>
      </c>
      <c r="C86" s="71"/>
      <c r="D86" s="71"/>
      <c r="E86" s="71"/>
      <c r="F86" s="103"/>
      <c r="G86" s="63">
        <f>G75+G81+G83</f>
        <v>1420.5104093210393</v>
      </c>
      <c r="H86" s="61"/>
      <c r="I86" s="4"/>
      <c r="J86" s="5"/>
    </row>
    <row r="87" spans="1:10" ht="15" thickTop="1" thickBot="1" x14ac:dyDescent="0.2">
      <c r="A87" s="23"/>
      <c r="B87" s="24"/>
      <c r="C87" s="24"/>
      <c r="D87" s="24"/>
      <c r="E87" s="24"/>
      <c r="F87" s="24"/>
      <c r="G87" s="24"/>
      <c r="H87" s="24"/>
      <c r="I87" s="20"/>
      <c r="J87" s="21"/>
    </row>
    <row r="88" spans="1:10" ht="16" thickTop="1" thickBot="1" x14ac:dyDescent="0.2">
      <c r="A88" s="104" t="s">
        <v>41</v>
      </c>
      <c r="B88" s="71"/>
      <c r="C88" s="71"/>
      <c r="D88" s="71"/>
      <c r="E88" s="71"/>
      <c r="F88" s="71"/>
      <c r="G88" s="71"/>
      <c r="H88" s="71"/>
      <c r="I88" s="72"/>
      <c r="J88" s="73"/>
    </row>
    <row r="89" spans="1:10" ht="14" thickTop="1" x14ac:dyDescent="0.15">
      <c r="A89" s="1"/>
      <c r="B89" s="1"/>
      <c r="C89" s="1"/>
      <c r="D89" s="1"/>
      <c r="E89" s="1"/>
      <c r="F89" s="1"/>
      <c r="G89" s="1"/>
      <c r="H89" s="1"/>
    </row>
    <row r="90" spans="1:10" ht="16" x14ac:dyDescent="0.2">
      <c r="A90" s="13" t="s">
        <v>77</v>
      </c>
      <c r="B90" s="1"/>
      <c r="C90" s="1"/>
      <c r="D90" s="1"/>
      <c r="E90" s="1"/>
      <c r="F90" s="1"/>
      <c r="G90" s="1"/>
      <c r="H90" s="1"/>
    </row>
    <row r="91" spans="1:10" x14ac:dyDescent="0.15">
      <c r="E91" s="124"/>
    </row>
    <row r="92" spans="1:10" x14ac:dyDescent="0.15">
      <c r="A92" s="1"/>
    </row>
    <row r="93" spans="1:10" x14ac:dyDescent="0.15">
      <c r="A93" s="1"/>
    </row>
  </sheetData>
  <sheetProtection password="DD6F" sheet="1" objects="1" scenarios="1"/>
  <printOptions horizontalCentered="1" verticalCentered="1" headings="1"/>
  <pageMargins left="0.78740157480314965" right="0.78740157480314965" top="0.62992125984251968" bottom="0.47244094488188981" header="0.59055118110236227" footer="0.27559055118110237"/>
  <pageSetup paperSize="9" scale="71" orientation="landscape" horizontalDpi="300" verticalDpi="300"/>
  <headerFooter alignWithMargins="0">
    <oddFooter>&amp;L&amp;"Times New Roman,Standaard"&amp;12&amp;A&amp;C&amp;"Times New Roman,Standaard"&amp;F&amp;R&amp;"Times New Roman,Standaard"&amp;14 3-3-110M Blatt 02</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pageSetUpPr fitToPage="1"/>
  </sheetPr>
  <dimension ref="A1:J93"/>
  <sheetViews>
    <sheetView topLeftCell="A9" zoomScaleNormal="100" workbookViewId="0">
      <selection activeCell="G13" sqref="G13"/>
    </sheetView>
  </sheetViews>
  <sheetFormatPr baseColWidth="10" defaultColWidth="11.5" defaultRowHeight="13" x14ac:dyDescent="0.15"/>
  <cols>
    <col min="1" max="1" width="12" customWidth="1"/>
    <col min="2" max="2" width="27.6640625" customWidth="1"/>
    <col min="3" max="7" width="17" customWidth="1"/>
    <col min="8" max="8" width="2.6640625" customWidth="1"/>
    <col min="9" max="10" width="12.6640625" customWidth="1"/>
  </cols>
  <sheetData>
    <row r="1" spans="1:10" ht="24" thickBot="1" x14ac:dyDescent="0.3">
      <c r="A1" s="74" t="s">
        <v>22</v>
      </c>
      <c r="B1" s="25"/>
      <c r="C1" s="25"/>
      <c r="D1" s="25"/>
      <c r="E1" s="25"/>
      <c r="F1" s="75" t="s">
        <v>42</v>
      </c>
      <c r="G1" s="25"/>
      <c r="H1" s="25"/>
      <c r="I1" s="25"/>
      <c r="J1" s="25"/>
    </row>
    <row r="2" spans="1:10" ht="14" thickTop="1" x14ac:dyDescent="0.15"/>
    <row r="3" spans="1:10" ht="14" thickBot="1" x14ac:dyDescent="0.2">
      <c r="I3" s="226" t="s">
        <v>62</v>
      </c>
    </row>
    <row r="4" spans="1:10" ht="17" thickTop="1" x14ac:dyDescent="0.2">
      <c r="A4" s="53" t="s">
        <v>43</v>
      </c>
      <c r="B4" s="50"/>
      <c r="C4" s="110" t="s">
        <v>60</v>
      </c>
      <c r="D4" s="110"/>
      <c r="E4" s="110"/>
      <c r="F4" s="110"/>
      <c r="G4" s="110"/>
      <c r="H4" s="110"/>
      <c r="I4" s="110"/>
      <c r="J4" s="111"/>
    </row>
    <row r="5" spans="1:10" x14ac:dyDescent="0.15">
      <c r="A5" s="113"/>
      <c r="B5" s="4"/>
      <c r="C5" s="59"/>
      <c r="D5" s="59"/>
      <c r="E5" s="59"/>
      <c r="F5" s="132"/>
      <c r="G5" s="132"/>
      <c r="J5" s="114"/>
    </row>
    <row r="6" spans="1:10" ht="15" thickBot="1" x14ac:dyDescent="0.2">
      <c r="A6" s="112"/>
      <c r="B6" s="116" t="s">
        <v>14</v>
      </c>
      <c r="C6" s="164" t="s">
        <v>61</v>
      </c>
      <c r="D6" s="164"/>
      <c r="E6" s="164"/>
      <c r="F6" s="163" t="s">
        <v>16</v>
      </c>
      <c r="G6" s="164" t="s">
        <v>61</v>
      </c>
      <c r="H6" s="164"/>
      <c r="I6" s="164"/>
      <c r="J6" s="115"/>
    </row>
    <row r="7" spans="1:10" ht="14" thickTop="1" x14ac:dyDescent="0.15">
      <c r="A7" s="1"/>
      <c r="B7" s="1"/>
    </row>
    <row r="8" spans="1:10" ht="14" thickBot="1" x14ac:dyDescent="0.2">
      <c r="A8" s="1"/>
      <c r="B8" s="1"/>
    </row>
    <row r="9" spans="1:10" ht="20" thickTop="1" thickBot="1" x14ac:dyDescent="0.25">
      <c r="A9" s="26" t="s">
        <v>0</v>
      </c>
      <c r="B9" s="9"/>
      <c r="C9" s="2"/>
      <c r="D9" s="2"/>
      <c r="E9" s="2"/>
      <c r="F9" s="2"/>
      <c r="G9" s="3"/>
      <c r="H9" s="54"/>
      <c r="I9" s="11"/>
      <c r="J9" s="12"/>
    </row>
    <row r="10" spans="1:10" ht="17" thickTop="1" x14ac:dyDescent="0.2">
      <c r="A10" s="118" t="s">
        <v>1</v>
      </c>
      <c r="B10" s="119"/>
      <c r="C10" s="123"/>
      <c r="D10" s="120"/>
      <c r="F10" s="32"/>
      <c r="G10" s="107"/>
      <c r="H10" s="55"/>
      <c r="I10" s="76" t="s">
        <v>17</v>
      </c>
      <c r="J10" s="15"/>
    </row>
    <row r="11" spans="1:10" ht="16.5" customHeight="1" x14ac:dyDescent="0.15">
      <c r="A11" s="94" t="s">
        <v>2</v>
      </c>
      <c r="B11" s="28"/>
      <c r="C11" s="29"/>
      <c r="D11" s="121" t="s">
        <v>44</v>
      </c>
      <c r="F11" s="106"/>
      <c r="G11" s="109"/>
      <c r="H11" s="56"/>
      <c r="I11" s="76" t="s">
        <v>18</v>
      </c>
      <c r="J11" s="15"/>
    </row>
    <row r="12" spans="1:10" ht="16.5" customHeight="1" thickBot="1" x14ac:dyDescent="0.2">
      <c r="A12" s="94" t="s">
        <v>3</v>
      </c>
      <c r="B12" s="28"/>
      <c r="C12" s="29"/>
      <c r="D12" s="121" t="s">
        <v>45</v>
      </c>
      <c r="F12" s="106"/>
      <c r="G12" s="34">
        <f>'Overzicht en kosten'!G39</f>
        <v>50</v>
      </c>
      <c r="H12" s="57"/>
      <c r="I12" s="76" t="s">
        <v>19</v>
      </c>
      <c r="J12" s="15"/>
    </row>
    <row r="13" spans="1:10" ht="16.5" customHeight="1" thickTop="1" thickBot="1" x14ac:dyDescent="0.2">
      <c r="A13" s="95" t="s">
        <v>4</v>
      </c>
      <c r="B13" s="28"/>
      <c r="C13" s="186"/>
      <c r="D13" s="121" t="s">
        <v>59</v>
      </c>
      <c r="F13" s="106"/>
      <c r="G13" s="77">
        <f>'Spec. systeem'!A42</f>
        <v>4.8000000000000001E-2</v>
      </c>
      <c r="H13" s="56"/>
      <c r="I13" s="76" t="s">
        <v>20</v>
      </c>
      <c r="J13" s="15"/>
    </row>
    <row r="14" spans="1:10" ht="15" thickTop="1" x14ac:dyDescent="0.15">
      <c r="A14" s="94" t="s">
        <v>39</v>
      </c>
      <c r="B14" s="31"/>
      <c r="C14" s="185">
        <f>SUM(C11:C13)</f>
        <v>0</v>
      </c>
      <c r="D14" s="122"/>
      <c r="F14" s="32"/>
      <c r="G14" s="108"/>
      <c r="H14" s="58"/>
      <c r="I14" s="76" t="s">
        <v>21</v>
      </c>
      <c r="J14" s="15"/>
    </row>
    <row r="15" spans="1:10" ht="14" thickBot="1" x14ac:dyDescent="0.2">
      <c r="A15" s="19"/>
      <c r="B15" s="20"/>
      <c r="C15" s="20"/>
      <c r="D15" s="20"/>
      <c r="E15" s="20"/>
      <c r="F15" s="20"/>
      <c r="G15" s="21"/>
      <c r="H15" s="59"/>
      <c r="I15" s="14"/>
      <c r="J15" s="15"/>
    </row>
    <row r="16" spans="1:10" ht="15" thickTop="1" thickBot="1" x14ac:dyDescent="0.2">
      <c r="A16" s="16"/>
      <c r="B16" s="6"/>
      <c r="C16" s="6"/>
      <c r="D16" s="6"/>
      <c r="E16" s="6"/>
      <c r="F16" s="6"/>
      <c r="G16" s="6"/>
      <c r="H16" s="6"/>
      <c r="I16" s="6"/>
      <c r="J16" s="7"/>
    </row>
    <row r="17" spans="1:10" ht="14" thickTop="1" x14ac:dyDescent="0.15">
      <c r="A17" s="22"/>
      <c r="B17" s="17"/>
      <c r="C17" s="17"/>
      <c r="D17" s="17"/>
      <c r="E17" s="17"/>
      <c r="F17" s="17"/>
      <c r="G17" s="17"/>
      <c r="H17" s="17"/>
      <c r="I17" s="17"/>
      <c r="J17" s="18"/>
    </row>
    <row r="18" spans="1:10" ht="19" thickBot="1" x14ac:dyDescent="0.25">
      <c r="A18" s="27" t="s">
        <v>5</v>
      </c>
      <c r="B18" s="4"/>
      <c r="C18" s="4"/>
      <c r="D18" s="4"/>
      <c r="E18" s="4"/>
      <c r="F18" s="4"/>
      <c r="G18" s="4"/>
      <c r="H18" s="17"/>
      <c r="I18" s="4"/>
      <c r="J18" s="5"/>
    </row>
    <row r="19" spans="1:10" ht="15" thickTop="1" x14ac:dyDescent="0.15">
      <c r="A19" s="35" t="s">
        <v>6</v>
      </c>
      <c r="B19" s="36"/>
      <c r="C19" s="35" t="s">
        <v>12</v>
      </c>
      <c r="D19" s="37" t="s">
        <v>13</v>
      </c>
      <c r="E19" s="35" t="s">
        <v>23</v>
      </c>
      <c r="F19" s="37" t="s">
        <v>25</v>
      </c>
      <c r="G19" s="37" t="s">
        <v>26</v>
      </c>
      <c r="H19" s="60"/>
      <c r="I19" s="78" t="s">
        <v>28</v>
      </c>
      <c r="J19" s="260" t="s">
        <v>29</v>
      </c>
    </row>
    <row r="20" spans="1:10" ht="15" thickBot="1" x14ac:dyDescent="0.2">
      <c r="A20" s="38" t="s">
        <v>7</v>
      </c>
      <c r="B20" s="39"/>
      <c r="C20" s="38" t="s">
        <v>49</v>
      </c>
      <c r="D20" s="40" t="s">
        <v>49</v>
      </c>
      <c r="E20" s="38" t="s">
        <v>24</v>
      </c>
      <c r="F20" s="40" t="s">
        <v>15</v>
      </c>
      <c r="G20" s="40" t="s">
        <v>27</v>
      </c>
      <c r="H20" s="60"/>
      <c r="I20" s="80" t="s">
        <v>15</v>
      </c>
      <c r="J20" s="81" t="s">
        <v>15</v>
      </c>
    </row>
    <row r="21" spans="1:10" ht="16" thickTop="1" x14ac:dyDescent="0.15">
      <c r="A21" s="88" t="s">
        <v>30</v>
      </c>
      <c r="B21" s="93" t="s">
        <v>31</v>
      </c>
      <c r="C21" s="88" t="s">
        <v>35</v>
      </c>
      <c r="D21" s="89" t="s">
        <v>32</v>
      </c>
      <c r="E21" s="88" t="s">
        <v>36</v>
      </c>
      <c r="F21" s="90" t="s">
        <v>37</v>
      </c>
      <c r="G21" s="89" t="s">
        <v>38</v>
      </c>
      <c r="H21" s="17"/>
      <c r="I21" s="91" t="s">
        <v>33</v>
      </c>
      <c r="J21" s="92" t="s">
        <v>34</v>
      </c>
    </row>
    <row r="22" spans="1:10" ht="14" x14ac:dyDescent="0.15">
      <c r="A22" s="10"/>
      <c r="B22" s="8"/>
      <c r="C22" s="10"/>
      <c r="D22" s="5"/>
      <c r="E22" s="10"/>
      <c r="F22" s="96"/>
      <c r="G22" s="5"/>
      <c r="H22" s="17"/>
      <c r="I22" s="82"/>
      <c r="J22" s="83"/>
    </row>
    <row r="23" spans="1:10" ht="14" x14ac:dyDescent="0.15">
      <c r="A23" s="198">
        <v>0</v>
      </c>
      <c r="B23" s="199"/>
      <c r="C23" s="307">
        <v>0</v>
      </c>
      <c r="D23" s="207">
        <f>IF($G$12&lt;1,0,'Spec. systeem'!K3)</f>
        <v>-315</v>
      </c>
      <c r="E23" s="202"/>
      <c r="F23" s="203"/>
      <c r="G23" s="204"/>
      <c r="H23" s="33"/>
      <c r="I23" s="84">
        <f>(1+$G$13)^A23</f>
        <v>1</v>
      </c>
      <c r="J23" s="85">
        <f>1/(1+$G$13)^A23</f>
        <v>1</v>
      </c>
    </row>
    <row r="24" spans="1:10" ht="14" x14ac:dyDescent="0.15">
      <c r="A24" s="205">
        <v>1</v>
      </c>
      <c r="B24" s="206"/>
      <c r="C24" s="225">
        <v>0</v>
      </c>
      <c r="D24" s="207">
        <f>IF($G$12&lt;=1,0,'Spec. systeem'!K4)</f>
        <v>-315</v>
      </c>
      <c r="E24" s="208">
        <f t="shared" ref="E24:E55" si="0">C24-D23</f>
        <v>315</v>
      </c>
      <c r="F24" s="209">
        <f>J24</f>
        <v>0.95419847328244267</v>
      </c>
      <c r="G24" s="210">
        <f>E24*F24</f>
        <v>300.57251908396944</v>
      </c>
      <c r="H24" s="61"/>
      <c r="I24" s="84">
        <f>(1+$G$13)^A24</f>
        <v>1.048</v>
      </c>
      <c r="J24" s="85">
        <f>1/(1+$G$13)^A24</f>
        <v>0.95419847328244267</v>
      </c>
    </row>
    <row r="25" spans="1:10" ht="14" x14ac:dyDescent="0.15">
      <c r="A25" s="205">
        <v>2</v>
      </c>
      <c r="B25" s="206"/>
      <c r="C25" s="225">
        <v>0</v>
      </c>
      <c r="D25" s="207">
        <f>IF($G$12&lt;=1,0,'Spec. systeem'!K5)</f>
        <v>-615</v>
      </c>
      <c r="E25" s="208">
        <f t="shared" si="0"/>
        <v>315</v>
      </c>
      <c r="F25" s="209">
        <f t="shared" ref="F25:F73" si="1">J25</f>
        <v>0.91049472641454443</v>
      </c>
      <c r="G25" s="210">
        <f t="shared" ref="G25:G73" si="2">E25*F25</f>
        <v>286.80583882058147</v>
      </c>
      <c r="H25" s="61"/>
      <c r="I25" s="84">
        <f t="shared" ref="I25:I73" si="3">(1+$G$13)^A25</f>
        <v>1.0983040000000002</v>
      </c>
      <c r="J25" s="85">
        <f t="shared" ref="J25:J73" si="4">1/(1+$G$13)^A25</f>
        <v>0.91049472641454443</v>
      </c>
    </row>
    <row r="26" spans="1:10" ht="14" x14ac:dyDescent="0.15">
      <c r="A26" s="198">
        <v>3</v>
      </c>
      <c r="B26" s="206"/>
      <c r="C26" s="225">
        <v>0</v>
      </c>
      <c r="D26" s="207">
        <f>IF($G$12&lt;=2,0,'Spec. systeem'!K6)</f>
        <v>-315</v>
      </c>
      <c r="E26" s="208">
        <f t="shared" si="0"/>
        <v>615</v>
      </c>
      <c r="F26" s="209">
        <f t="shared" si="1"/>
        <v>0.86879267787647374</v>
      </c>
      <c r="G26" s="210">
        <f t="shared" si="2"/>
        <v>534.30749689403137</v>
      </c>
      <c r="H26" s="61"/>
      <c r="I26" s="84">
        <f t="shared" si="3"/>
        <v>1.1510225920000001</v>
      </c>
      <c r="J26" s="85">
        <f t="shared" si="4"/>
        <v>0.86879267787647374</v>
      </c>
    </row>
    <row r="27" spans="1:10" ht="14" x14ac:dyDescent="0.15">
      <c r="A27" s="205">
        <v>4</v>
      </c>
      <c r="B27" s="206"/>
      <c r="C27" s="225">
        <v>0</v>
      </c>
      <c r="D27" s="207">
        <f>IF($G$12&lt;=3,0,'Spec. systeem'!K7)</f>
        <v>-315</v>
      </c>
      <c r="E27" s="208">
        <f t="shared" si="0"/>
        <v>315</v>
      </c>
      <c r="F27" s="209">
        <f t="shared" si="1"/>
        <v>0.82900064682869612</v>
      </c>
      <c r="G27" s="210">
        <f t="shared" si="2"/>
        <v>261.13520375103928</v>
      </c>
      <c r="H27" s="61"/>
      <c r="I27" s="84">
        <f t="shared" si="3"/>
        <v>1.2062716764160004</v>
      </c>
      <c r="J27" s="85">
        <f t="shared" si="4"/>
        <v>0.82900064682869612</v>
      </c>
    </row>
    <row r="28" spans="1:10" ht="14" x14ac:dyDescent="0.15">
      <c r="A28" s="205">
        <v>5</v>
      </c>
      <c r="B28" s="206"/>
      <c r="C28" s="225">
        <v>0</v>
      </c>
      <c r="D28" s="207">
        <f>IF($G$12&lt;=4,0,'Spec. systeem'!K8)</f>
        <v>-315</v>
      </c>
      <c r="E28" s="208">
        <f t="shared" si="0"/>
        <v>315</v>
      </c>
      <c r="F28" s="209">
        <f t="shared" si="1"/>
        <v>0.79103115155409931</v>
      </c>
      <c r="G28" s="210">
        <f t="shared" si="2"/>
        <v>249.1748127395413</v>
      </c>
      <c r="H28" s="61"/>
      <c r="I28" s="84">
        <f t="shared" si="3"/>
        <v>1.2641727168839685</v>
      </c>
      <c r="J28" s="85">
        <f t="shared" si="4"/>
        <v>0.79103115155409931</v>
      </c>
    </row>
    <row r="29" spans="1:10" ht="14" x14ac:dyDescent="0.15">
      <c r="A29" s="198">
        <v>6</v>
      </c>
      <c r="B29" s="206"/>
      <c r="C29" s="225">
        <v>0</v>
      </c>
      <c r="D29" s="207">
        <f>IF($G$12&lt;=5,0,'Spec. systeem'!K9)</f>
        <v>-15</v>
      </c>
      <c r="E29" s="208">
        <f t="shared" si="0"/>
        <v>315</v>
      </c>
      <c r="F29" s="209">
        <f t="shared" si="1"/>
        <v>0.7548007171317741</v>
      </c>
      <c r="G29" s="210">
        <f t="shared" si="2"/>
        <v>237.76222589650885</v>
      </c>
      <c r="H29" s="61"/>
      <c r="I29" s="84">
        <f t="shared" si="3"/>
        <v>1.3248530072943991</v>
      </c>
      <c r="J29" s="85">
        <f t="shared" si="4"/>
        <v>0.7548007171317741</v>
      </c>
    </row>
    <row r="30" spans="1:10" ht="14" x14ac:dyDescent="0.15">
      <c r="A30" s="205">
        <v>7</v>
      </c>
      <c r="B30" s="206"/>
      <c r="C30" s="225">
        <v>0</v>
      </c>
      <c r="D30" s="207">
        <f>IF($G$12&lt;=6,0,'Spec. systeem'!K10)</f>
        <v>-15</v>
      </c>
      <c r="E30" s="208">
        <f t="shared" si="0"/>
        <v>15</v>
      </c>
      <c r="F30" s="209">
        <f t="shared" si="1"/>
        <v>0.72022969191963182</v>
      </c>
      <c r="G30" s="210">
        <f t="shared" si="2"/>
        <v>10.803445378794477</v>
      </c>
      <c r="H30" s="61"/>
      <c r="I30" s="84">
        <f t="shared" si="3"/>
        <v>1.3884459516445302</v>
      </c>
      <c r="J30" s="85">
        <f t="shared" si="4"/>
        <v>0.72022969191963182</v>
      </c>
    </row>
    <row r="31" spans="1:10" ht="14" x14ac:dyDescent="0.15">
      <c r="A31" s="205">
        <v>8</v>
      </c>
      <c r="B31" s="206"/>
      <c r="C31" s="225">
        <v>0</v>
      </c>
      <c r="D31" s="207">
        <f>IF($G$12&lt;=7,0,'Spec. systeem'!K11)</f>
        <v>-315</v>
      </c>
      <c r="E31" s="208">
        <f t="shared" si="0"/>
        <v>15</v>
      </c>
      <c r="F31" s="209">
        <f t="shared" si="1"/>
        <v>0.68724207244239655</v>
      </c>
      <c r="G31" s="210">
        <f t="shared" si="2"/>
        <v>10.308631086635948</v>
      </c>
      <c r="H31" s="61"/>
      <c r="I31" s="84">
        <f t="shared" si="3"/>
        <v>1.4550913573234681</v>
      </c>
      <c r="J31" s="85">
        <f t="shared" si="4"/>
        <v>0.68724207244239655</v>
      </c>
    </row>
    <row r="32" spans="1:10" ht="14" x14ac:dyDescent="0.15">
      <c r="A32" s="198">
        <v>9</v>
      </c>
      <c r="B32" s="206"/>
      <c r="C32" s="225">
        <v>0</v>
      </c>
      <c r="D32" s="207">
        <f>IF($G$12&lt;=8,0,'Spec. systeem'!K12)</f>
        <v>-315</v>
      </c>
      <c r="E32" s="208">
        <f t="shared" si="0"/>
        <v>315</v>
      </c>
      <c r="F32" s="209">
        <f t="shared" si="1"/>
        <v>0.65576533629999678</v>
      </c>
      <c r="G32" s="210">
        <f t="shared" si="2"/>
        <v>206.56608093449898</v>
      </c>
      <c r="H32" s="61"/>
      <c r="I32" s="84">
        <f t="shared" si="3"/>
        <v>1.5249357424749945</v>
      </c>
      <c r="J32" s="85">
        <f t="shared" si="4"/>
        <v>0.65576533629999678</v>
      </c>
    </row>
    <row r="33" spans="1:10" ht="14" x14ac:dyDescent="0.15">
      <c r="A33" s="205">
        <v>10</v>
      </c>
      <c r="B33" s="206"/>
      <c r="C33" s="225">
        <v>0</v>
      </c>
      <c r="D33" s="207">
        <f>IF($G$11&lt;=9,0,'Spec. systeem'!K13)</f>
        <v>0</v>
      </c>
      <c r="E33" s="208">
        <f t="shared" si="0"/>
        <v>315</v>
      </c>
      <c r="F33" s="209">
        <f t="shared" si="1"/>
        <v>0.62573028272900444</v>
      </c>
      <c r="G33" s="210">
        <f t="shared" si="2"/>
        <v>197.1050390596364</v>
      </c>
      <c r="H33" s="61"/>
      <c r="I33" s="84">
        <f t="shared" si="3"/>
        <v>1.5981326581137945</v>
      </c>
      <c r="J33" s="85">
        <f t="shared" si="4"/>
        <v>0.62573028272900444</v>
      </c>
    </row>
    <row r="34" spans="1:10" ht="14" x14ac:dyDescent="0.15">
      <c r="A34" s="205">
        <v>11</v>
      </c>
      <c r="B34" s="206"/>
      <c r="C34" s="225">
        <v>0</v>
      </c>
      <c r="D34" s="207">
        <f>IF($G$12&lt;=10,0,'Spec. systeem'!K14)</f>
        <v>-315</v>
      </c>
      <c r="E34" s="208">
        <f t="shared" si="0"/>
        <v>0</v>
      </c>
      <c r="F34" s="209">
        <f t="shared" si="1"/>
        <v>0.59707088046660728</v>
      </c>
      <c r="G34" s="210">
        <f t="shared" si="2"/>
        <v>0</v>
      </c>
      <c r="H34" s="61"/>
      <c r="I34" s="84">
        <f t="shared" si="3"/>
        <v>1.6748430257032565</v>
      </c>
      <c r="J34" s="85">
        <f t="shared" si="4"/>
        <v>0.59707088046660728</v>
      </c>
    </row>
    <row r="35" spans="1:10" ht="14" x14ac:dyDescent="0.15">
      <c r="A35" s="198">
        <v>12</v>
      </c>
      <c r="B35" s="206"/>
      <c r="C35" s="225">
        <v>0</v>
      </c>
      <c r="D35" s="207">
        <f>IF($G$12&lt;=11,0,'Spec. systeem'!K15)</f>
        <v>-15</v>
      </c>
      <c r="E35" s="208">
        <f t="shared" si="0"/>
        <v>315</v>
      </c>
      <c r="F35" s="209">
        <f t="shared" si="1"/>
        <v>0.56972412258264038</v>
      </c>
      <c r="G35" s="210">
        <f t="shared" si="2"/>
        <v>179.46309861353171</v>
      </c>
      <c r="H35" s="61"/>
      <c r="I35" s="84">
        <f t="shared" si="3"/>
        <v>1.7552354909370134</v>
      </c>
      <c r="J35" s="85">
        <f t="shared" si="4"/>
        <v>0.56972412258264038</v>
      </c>
    </row>
    <row r="36" spans="1:10" ht="14" x14ac:dyDescent="0.15">
      <c r="A36" s="205">
        <v>13</v>
      </c>
      <c r="B36" s="206"/>
      <c r="C36" s="225">
        <v>0</v>
      </c>
      <c r="D36" s="207">
        <f>IF($G$12&lt;=12,0,'Spec. systeem'!K16)</f>
        <v>-315</v>
      </c>
      <c r="E36" s="208">
        <f t="shared" si="0"/>
        <v>15</v>
      </c>
      <c r="F36" s="209">
        <f t="shared" si="1"/>
        <v>0.5436298879605348</v>
      </c>
      <c r="G36" s="210">
        <f t="shared" si="2"/>
        <v>8.1544483194080222</v>
      </c>
      <c r="H36" s="61"/>
      <c r="I36" s="84">
        <f t="shared" si="3"/>
        <v>1.8394867945019899</v>
      </c>
      <c r="J36" s="85">
        <f t="shared" si="4"/>
        <v>0.5436298879605348</v>
      </c>
    </row>
    <row r="37" spans="1:10" ht="14" x14ac:dyDescent="0.15">
      <c r="A37" s="205">
        <v>14</v>
      </c>
      <c r="B37" s="206"/>
      <c r="C37" s="225">
        <v>0</v>
      </c>
      <c r="D37" s="207">
        <f>IF($G$12&lt;=13,0,'Spec. systeem'!K17)</f>
        <v>-15</v>
      </c>
      <c r="E37" s="208">
        <f t="shared" si="0"/>
        <v>315</v>
      </c>
      <c r="F37" s="209">
        <f t="shared" si="1"/>
        <v>0.51873080912264757</v>
      </c>
      <c r="G37" s="210">
        <f t="shared" si="2"/>
        <v>163.40020487363398</v>
      </c>
      <c r="H37" s="61"/>
      <c r="I37" s="84">
        <f t="shared" si="3"/>
        <v>1.9277821606380858</v>
      </c>
      <c r="J37" s="85">
        <f t="shared" si="4"/>
        <v>0.51873080912264757</v>
      </c>
    </row>
    <row r="38" spans="1:10" ht="14" x14ac:dyDescent="0.15">
      <c r="A38" s="198">
        <v>15</v>
      </c>
      <c r="B38" s="206"/>
      <c r="C38" s="225">
        <v>0</v>
      </c>
      <c r="D38" s="207">
        <f>IF($G$12&lt;=14,0,'Spec. systeem'!K18)</f>
        <v>-15</v>
      </c>
      <c r="E38" s="208">
        <f t="shared" si="0"/>
        <v>15</v>
      </c>
      <c r="F38" s="209">
        <f t="shared" si="1"/>
        <v>0.4949721461093966</v>
      </c>
      <c r="G38" s="210">
        <f t="shared" si="2"/>
        <v>7.4245821916409493</v>
      </c>
      <c r="H38" s="61"/>
      <c r="I38" s="84">
        <f t="shared" si="3"/>
        <v>2.0203157043487137</v>
      </c>
      <c r="J38" s="85">
        <f t="shared" si="4"/>
        <v>0.4949721461093966</v>
      </c>
    </row>
    <row r="39" spans="1:10" ht="14" x14ac:dyDescent="0.15">
      <c r="A39" s="205">
        <v>16</v>
      </c>
      <c r="B39" s="206"/>
      <c r="C39" s="225">
        <v>0</v>
      </c>
      <c r="D39" s="207">
        <f>IF($G$12&lt;=15,0,'Spec. systeem'!K19)</f>
        <v>-15</v>
      </c>
      <c r="E39" s="208">
        <f t="shared" si="0"/>
        <v>15</v>
      </c>
      <c r="F39" s="209">
        <f t="shared" ref="F39:F51" si="5">J39</f>
        <v>0.47230166613492025</v>
      </c>
      <c r="G39" s="210">
        <f t="shared" ref="G39:G51" si="6">E39*F39</f>
        <v>7.0845249920238036</v>
      </c>
      <c r="H39" s="61"/>
      <c r="I39" s="84">
        <f t="shared" ref="I39:I51" si="7">(1+$G$13)^A39</f>
        <v>2.1172908581574528</v>
      </c>
      <c r="J39" s="85">
        <f t="shared" ref="J39:J51" si="8">1/(1+$G$13)^A39</f>
        <v>0.47230166613492025</v>
      </c>
    </row>
    <row r="40" spans="1:10" ht="14" x14ac:dyDescent="0.15">
      <c r="A40" s="205">
        <v>17</v>
      </c>
      <c r="B40" s="206"/>
      <c r="C40" s="225">
        <v>0</v>
      </c>
      <c r="D40" s="207">
        <f>IF($G$12&lt;=16,0,'Spec. systeem'!K20)</f>
        <v>-315</v>
      </c>
      <c r="E40" s="208">
        <f t="shared" si="0"/>
        <v>15</v>
      </c>
      <c r="F40" s="209">
        <f t="shared" si="5"/>
        <v>0.45066952875469485</v>
      </c>
      <c r="G40" s="210">
        <f t="shared" si="6"/>
        <v>6.7600429313204229</v>
      </c>
      <c r="H40" s="61"/>
      <c r="I40" s="84">
        <f t="shared" si="7"/>
        <v>2.2189208193490106</v>
      </c>
      <c r="J40" s="85">
        <f t="shared" si="8"/>
        <v>0.45066952875469485</v>
      </c>
    </row>
    <row r="41" spans="1:10" ht="14" x14ac:dyDescent="0.15">
      <c r="A41" s="198">
        <v>18</v>
      </c>
      <c r="B41" s="206"/>
      <c r="C41" s="225">
        <v>0</v>
      </c>
      <c r="D41" s="207">
        <f>IF($G$12&lt;=17,0,'Spec. systeem'!K21)</f>
        <v>-315</v>
      </c>
      <c r="E41" s="208">
        <f t="shared" si="0"/>
        <v>315</v>
      </c>
      <c r="F41" s="209">
        <f t="shared" si="5"/>
        <v>0.43002817629264767</v>
      </c>
      <c r="G41" s="210">
        <f t="shared" si="6"/>
        <v>135.45887553218401</v>
      </c>
      <c r="H41" s="61"/>
      <c r="I41" s="84">
        <f t="shared" si="7"/>
        <v>2.3254290186777635</v>
      </c>
      <c r="J41" s="85">
        <f t="shared" si="8"/>
        <v>0.43002817629264767</v>
      </c>
    </row>
    <row r="42" spans="1:10" ht="14" x14ac:dyDescent="0.15">
      <c r="A42" s="205">
        <v>19</v>
      </c>
      <c r="B42" s="206"/>
      <c r="C42" s="225">
        <v>0</v>
      </c>
      <c r="D42" s="207">
        <f>IF($G$12&lt;=18,0,'Spec. systeem'!K22)</f>
        <v>-315</v>
      </c>
      <c r="E42" s="208">
        <f t="shared" si="0"/>
        <v>315</v>
      </c>
      <c r="F42" s="209">
        <f t="shared" si="5"/>
        <v>0.41033222928687763</v>
      </c>
      <c r="G42" s="210">
        <f t="shared" si="6"/>
        <v>129.25465222536644</v>
      </c>
      <c r="H42" s="61"/>
      <c r="I42" s="84">
        <f t="shared" si="7"/>
        <v>2.4370496115742957</v>
      </c>
      <c r="J42" s="85">
        <f t="shared" si="8"/>
        <v>0.41033222928687763</v>
      </c>
    </row>
    <row r="43" spans="1:10" ht="14" x14ac:dyDescent="0.15">
      <c r="A43" s="205">
        <v>20</v>
      </c>
      <c r="B43" s="206"/>
      <c r="C43" s="225">
        <v>0</v>
      </c>
      <c r="D43" s="207">
        <f>IF($G$12&lt;=19,0,'Spec. systeem'!K23)</f>
        <v>-15</v>
      </c>
      <c r="E43" s="208">
        <f t="shared" si="0"/>
        <v>315</v>
      </c>
      <c r="F43" s="209">
        <f t="shared" si="5"/>
        <v>0.39153838672411972</v>
      </c>
      <c r="G43" s="210">
        <f t="shared" si="6"/>
        <v>123.33459181809771</v>
      </c>
      <c r="H43" s="61"/>
      <c r="I43" s="84">
        <f t="shared" si="7"/>
        <v>2.5540279929298628</v>
      </c>
      <c r="J43" s="85">
        <f t="shared" si="8"/>
        <v>0.39153838672411972</v>
      </c>
    </row>
    <row r="44" spans="1:10" ht="14" x14ac:dyDescent="0.15">
      <c r="A44" s="198">
        <v>21</v>
      </c>
      <c r="B44" s="206"/>
      <c r="C44" s="225">
        <v>0</v>
      </c>
      <c r="D44" s="207">
        <f>IF($G$12&lt;=20,0,'Spec. systeem'!K24)</f>
        <v>-315</v>
      </c>
      <c r="E44" s="208">
        <f t="shared" si="0"/>
        <v>15</v>
      </c>
      <c r="F44" s="209">
        <f t="shared" si="5"/>
        <v>0.37360533084362568</v>
      </c>
      <c r="G44" s="210">
        <f t="shared" si="6"/>
        <v>5.6040799626543851</v>
      </c>
      <c r="H44" s="61"/>
      <c r="I44" s="84">
        <f t="shared" si="7"/>
        <v>2.6766213365904963</v>
      </c>
      <c r="J44" s="85">
        <f t="shared" si="8"/>
        <v>0.37360533084362568</v>
      </c>
    </row>
    <row r="45" spans="1:10" ht="14" x14ac:dyDescent="0.15">
      <c r="A45" s="205">
        <v>22</v>
      </c>
      <c r="B45" s="206"/>
      <c r="C45" s="225">
        <v>0</v>
      </c>
      <c r="D45" s="207">
        <f>IF($G$12&lt;=21,0,'Spec. systeem'!K25)</f>
        <v>-615</v>
      </c>
      <c r="E45" s="208">
        <f t="shared" si="0"/>
        <v>315</v>
      </c>
      <c r="F45" s="209">
        <f t="shared" si="5"/>
        <v>0.35649363630116954</v>
      </c>
      <c r="G45" s="210">
        <f t="shared" si="6"/>
        <v>112.2954954348684</v>
      </c>
      <c r="H45" s="61"/>
      <c r="I45" s="84">
        <f t="shared" si="7"/>
        <v>2.8050991607468405</v>
      </c>
      <c r="J45" s="85">
        <f t="shared" si="8"/>
        <v>0.35649363630116954</v>
      </c>
    </row>
    <row r="46" spans="1:10" ht="14" x14ac:dyDescent="0.15">
      <c r="A46" s="205">
        <v>23</v>
      </c>
      <c r="B46" s="206"/>
      <c r="C46" s="225">
        <v>0</v>
      </c>
      <c r="D46" s="207">
        <f>IF($G$12&lt;=22,0,'Spec. systeem'!K26)</f>
        <v>-15</v>
      </c>
      <c r="E46" s="208">
        <f t="shared" si="0"/>
        <v>615</v>
      </c>
      <c r="F46" s="209">
        <f t="shared" si="5"/>
        <v>0.34016568349348236</v>
      </c>
      <c r="G46" s="210">
        <f t="shared" si="6"/>
        <v>209.20189534849166</v>
      </c>
      <c r="H46" s="61"/>
      <c r="I46" s="84">
        <f t="shared" si="7"/>
        <v>2.9397439204626887</v>
      </c>
      <c r="J46" s="85">
        <f t="shared" si="8"/>
        <v>0.34016568349348236</v>
      </c>
    </row>
    <row r="47" spans="1:10" ht="14" x14ac:dyDescent="0.15">
      <c r="A47" s="198">
        <v>24</v>
      </c>
      <c r="B47" s="206"/>
      <c r="C47" s="225">
        <v>0</v>
      </c>
      <c r="D47" s="207">
        <f>IF($G$12&lt;=23,0,'Spec. systeem'!K27)</f>
        <v>-15</v>
      </c>
      <c r="E47" s="208">
        <f t="shared" si="0"/>
        <v>15</v>
      </c>
      <c r="F47" s="209">
        <f t="shared" si="5"/>
        <v>0.32458557585255948</v>
      </c>
      <c r="G47" s="210">
        <f t="shared" si="6"/>
        <v>4.8687836377883924</v>
      </c>
      <c r="H47" s="61"/>
      <c r="I47" s="84">
        <f t="shared" si="7"/>
        <v>3.0808516286448984</v>
      </c>
      <c r="J47" s="85">
        <f t="shared" si="8"/>
        <v>0.32458557585255948</v>
      </c>
    </row>
    <row r="48" spans="1:10" ht="14" x14ac:dyDescent="0.15">
      <c r="A48" s="205">
        <v>25</v>
      </c>
      <c r="B48" s="206"/>
      <c r="C48" s="225">
        <v>0</v>
      </c>
      <c r="D48" s="207">
        <f>IF($G$12&lt;=24,0,'Spec. systeem'!K28)</f>
        <v>-315</v>
      </c>
      <c r="E48" s="208">
        <f t="shared" si="0"/>
        <v>15</v>
      </c>
      <c r="F48" s="209">
        <f t="shared" si="5"/>
        <v>0.30971906092801477</v>
      </c>
      <c r="G48" s="210">
        <f t="shared" si="6"/>
        <v>4.6457859139202213</v>
      </c>
      <c r="H48" s="61"/>
      <c r="I48" s="84">
        <f t="shared" si="7"/>
        <v>3.2287325068198536</v>
      </c>
      <c r="J48" s="85">
        <f t="shared" si="8"/>
        <v>0.30971906092801477</v>
      </c>
    </row>
    <row r="49" spans="1:10" ht="14" x14ac:dyDescent="0.15">
      <c r="A49" s="205">
        <v>26</v>
      </c>
      <c r="B49" s="206"/>
      <c r="C49" s="225">
        <v>0</v>
      </c>
      <c r="D49" s="207">
        <f>IF($G$12&lt;=25,0,'Spec. systeem'!K29)</f>
        <v>-615</v>
      </c>
      <c r="E49" s="208">
        <f t="shared" si="0"/>
        <v>315</v>
      </c>
      <c r="F49" s="209">
        <f t="shared" si="5"/>
        <v>0.29553345508398354</v>
      </c>
      <c r="G49" s="210">
        <f t="shared" si="6"/>
        <v>93.093038351454823</v>
      </c>
      <c r="H49" s="61"/>
      <c r="I49" s="84">
        <f t="shared" si="7"/>
        <v>3.3837116671472067</v>
      </c>
      <c r="J49" s="85">
        <f t="shared" si="8"/>
        <v>0.29553345508398354</v>
      </c>
    </row>
    <row r="50" spans="1:10" ht="14" x14ac:dyDescent="0.15">
      <c r="A50" s="198">
        <v>27</v>
      </c>
      <c r="B50" s="206"/>
      <c r="C50" s="225">
        <v>0</v>
      </c>
      <c r="D50" s="207">
        <f>IF($G$12&lt;=26,0,'Spec. systeem'!K30)</f>
        <v>-315</v>
      </c>
      <c r="E50" s="208">
        <f t="shared" si="0"/>
        <v>615</v>
      </c>
      <c r="F50" s="209">
        <f t="shared" si="5"/>
        <v>0.28199757164502243</v>
      </c>
      <c r="G50" s="210">
        <f t="shared" si="6"/>
        <v>173.42850656168881</v>
      </c>
      <c r="H50" s="61"/>
      <c r="I50" s="84">
        <f t="shared" si="7"/>
        <v>3.5461298271702728</v>
      </c>
      <c r="J50" s="85">
        <f t="shared" si="8"/>
        <v>0.28199757164502243</v>
      </c>
    </row>
    <row r="51" spans="1:10" ht="14" x14ac:dyDescent="0.15">
      <c r="A51" s="205">
        <v>28</v>
      </c>
      <c r="B51" s="206"/>
      <c r="C51" s="225">
        <v>0</v>
      </c>
      <c r="D51" s="207">
        <f>IF($G$12&lt;=27,0,'Spec. systeem'!K31)</f>
        <v>-15</v>
      </c>
      <c r="E51" s="208">
        <f t="shared" si="0"/>
        <v>315</v>
      </c>
      <c r="F51" s="209">
        <f t="shared" si="5"/>
        <v>0.2690816523330366</v>
      </c>
      <c r="G51" s="210">
        <f t="shared" si="6"/>
        <v>84.760720484906528</v>
      </c>
      <c r="H51" s="61"/>
      <c r="I51" s="84">
        <f t="shared" si="7"/>
        <v>3.716344058874447</v>
      </c>
      <c r="J51" s="85">
        <f t="shared" si="8"/>
        <v>0.2690816523330366</v>
      </c>
    </row>
    <row r="52" spans="1:10" ht="14" x14ac:dyDescent="0.15">
      <c r="A52" s="205">
        <v>29</v>
      </c>
      <c r="B52" s="206"/>
      <c r="C52" s="225">
        <v>0</v>
      </c>
      <c r="D52" s="207">
        <f>IF($G$12&lt;=28,0,'Spec. systeem'!K32)</f>
        <v>-315</v>
      </c>
      <c r="E52" s="208">
        <f t="shared" si="0"/>
        <v>15</v>
      </c>
      <c r="F52" s="209">
        <f t="shared" si="1"/>
        <v>0.25675730184450057</v>
      </c>
      <c r="G52" s="210">
        <f t="shared" si="2"/>
        <v>3.8513595276675088</v>
      </c>
      <c r="H52" s="61"/>
      <c r="I52" s="84">
        <f t="shared" si="3"/>
        <v>3.8947285737004202</v>
      </c>
      <c r="J52" s="85">
        <f t="shared" si="4"/>
        <v>0.25675730184450057</v>
      </c>
    </row>
    <row r="53" spans="1:10" ht="14" x14ac:dyDescent="0.15">
      <c r="A53" s="198">
        <v>30</v>
      </c>
      <c r="B53" s="206"/>
      <c r="C53" s="225">
        <v>0</v>
      </c>
      <c r="D53" s="207">
        <f>IF($G$12&lt;=29,0,'Spec. systeem'!K33)</f>
        <v>-15</v>
      </c>
      <c r="E53" s="208">
        <f t="shared" si="0"/>
        <v>315</v>
      </c>
      <c r="F53" s="209">
        <f t="shared" si="1"/>
        <v>0.24499742542414174</v>
      </c>
      <c r="G53" s="210">
        <f t="shared" si="2"/>
        <v>77.174189008604642</v>
      </c>
      <c r="H53" s="61"/>
      <c r="I53" s="84">
        <f t="shared" si="3"/>
        <v>4.0816755452380411</v>
      </c>
      <c r="J53" s="85">
        <f t="shared" si="4"/>
        <v>0.24499742542414174</v>
      </c>
    </row>
    <row r="54" spans="1:10" ht="14" x14ac:dyDescent="0.15">
      <c r="A54" s="205">
        <v>31</v>
      </c>
      <c r="B54" s="206"/>
      <c r="C54" s="225">
        <v>0</v>
      </c>
      <c r="D54" s="207">
        <f>IF($G$12&lt;=30,0,'Spec. systeem'!K34)</f>
        <v>-15</v>
      </c>
      <c r="E54" s="208">
        <f t="shared" si="0"/>
        <v>15</v>
      </c>
      <c r="F54" s="209">
        <f t="shared" si="1"/>
        <v>0.2337761692978452</v>
      </c>
      <c r="G54" s="210">
        <f t="shared" si="2"/>
        <v>3.5066425394676779</v>
      </c>
      <c r="H54" s="61"/>
      <c r="I54" s="84">
        <f t="shared" si="3"/>
        <v>4.2775959714094665</v>
      </c>
      <c r="J54" s="85">
        <f t="shared" si="4"/>
        <v>0.2337761692978452</v>
      </c>
    </row>
    <row r="55" spans="1:10" ht="14" x14ac:dyDescent="0.15">
      <c r="A55" s="205">
        <v>32</v>
      </c>
      <c r="B55" s="206"/>
      <c r="C55" s="225">
        <v>0</v>
      </c>
      <c r="D55" s="207">
        <f>IF($G$12&lt;=31,0,'Spec. systeem'!K35)</f>
        <v>-15</v>
      </c>
      <c r="E55" s="208">
        <f t="shared" si="0"/>
        <v>15</v>
      </c>
      <c r="F55" s="209">
        <f t="shared" si="1"/>
        <v>0.22306886383382163</v>
      </c>
      <c r="G55" s="210">
        <f t="shared" si="2"/>
        <v>3.3460329575073242</v>
      </c>
      <c r="H55" s="61"/>
      <c r="I55" s="84">
        <f t="shared" si="3"/>
        <v>4.4829205780371231</v>
      </c>
      <c r="J55" s="85">
        <f t="shared" si="4"/>
        <v>0.22306886383382163</v>
      </c>
    </row>
    <row r="56" spans="1:10" ht="14" x14ac:dyDescent="0.15">
      <c r="A56" s="198">
        <v>33</v>
      </c>
      <c r="B56" s="206"/>
      <c r="C56" s="225">
        <v>0</v>
      </c>
      <c r="D56" s="207">
        <f>IF($G$12&lt;=32,0,'Spec. systeem'!K36)</f>
        <v>-315</v>
      </c>
      <c r="E56" s="208">
        <f t="shared" ref="E56:E73" si="9">C56-D55</f>
        <v>15</v>
      </c>
      <c r="F56" s="209">
        <f t="shared" si="1"/>
        <v>0.21285196930708172</v>
      </c>
      <c r="G56" s="210">
        <f t="shared" si="2"/>
        <v>3.1927795396062257</v>
      </c>
      <c r="H56" s="61"/>
      <c r="I56" s="84">
        <f t="shared" si="3"/>
        <v>4.6981007657829048</v>
      </c>
      <c r="J56" s="85">
        <f t="shared" si="4"/>
        <v>0.21285196930708172</v>
      </c>
    </row>
    <row r="57" spans="1:10" ht="14" x14ac:dyDescent="0.15">
      <c r="A57" s="205">
        <v>34</v>
      </c>
      <c r="B57" s="206"/>
      <c r="C57" s="225">
        <v>0</v>
      </c>
      <c r="D57" s="207">
        <f>IF($G$12&lt;=33,0,'Spec. systeem'!K37)</f>
        <v>-15</v>
      </c>
      <c r="E57" s="208">
        <f t="shared" si="9"/>
        <v>315</v>
      </c>
      <c r="F57" s="209">
        <f t="shared" si="1"/>
        <v>0.20310302414797871</v>
      </c>
      <c r="G57" s="210">
        <f t="shared" si="2"/>
        <v>63.977452606613291</v>
      </c>
      <c r="H57" s="61"/>
      <c r="I57" s="84">
        <f t="shared" si="3"/>
        <v>4.923609602540485</v>
      </c>
      <c r="J57" s="85">
        <f t="shared" si="4"/>
        <v>0.20310302414797871</v>
      </c>
    </row>
    <row r="58" spans="1:10" ht="14" x14ac:dyDescent="0.15">
      <c r="A58" s="205">
        <v>35</v>
      </c>
      <c r="B58" s="206"/>
      <c r="C58" s="225">
        <v>0</v>
      </c>
      <c r="D58" s="207">
        <f>IF($G$12&lt;=34,0,'Spec. systeem'!K38)</f>
        <v>-315</v>
      </c>
      <c r="E58" s="208">
        <f t="shared" si="9"/>
        <v>15</v>
      </c>
      <c r="F58" s="209">
        <f t="shared" si="1"/>
        <v>0.19380059556104842</v>
      </c>
      <c r="G58" s="210">
        <f t="shared" si="2"/>
        <v>2.9070089334157263</v>
      </c>
      <c r="H58" s="61"/>
      <c r="I58" s="84">
        <f t="shared" si="3"/>
        <v>5.1599428634624278</v>
      </c>
      <c r="J58" s="85">
        <f t="shared" si="4"/>
        <v>0.19380059556104842</v>
      </c>
    </row>
    <row r="59" spans="1:10" ht="14" x14ac:dyDescent="0.15">
      <c r="A59" s="198">
        <v>36</v>
      </c>
      <c r="B59" s="206"/>
      <c r="C59" s="225">
        <v>0</v>
      </c>
      <c r="D59" s="207">
        <f>IF($G$12&lt;=35,0,'Spec. systeem'!K39)</f>
        <v>-315</v>
      </c>
      <c r="E59" s="208">
        <f t="shared" si="9"/>
        <v>315</v>
      </c>
      <c r="F59" s="209">
        <f t="shared" si="1"/>
        <v>0.18492423240558048</v>
      </c>
      <c r="G59" s="210">
        <f t="shared" si="2"/>
        <v>58.251133207757853</v>
      </c>
      <c r="H59" s="61"/>
      <c r="I59" s="84">
        <f t="shared" si="3"/>
        <v>5.4076201209086259</v>
      </c>
      <c r="J59" s="85">
        <f t="shared" si="4"/>
        <v>0.18492423240558048</v>
      </c>
    </row>
    <row r="60" spans="1:10" ht="14" x14ac:dyDescent="0.15">
      <c r="A60" s="205">
        <v>37</v>
      </c>
      <c r="B60" s="206"/>
      <c r="C60" s="225">
        <v>0</v>
      </c>
      <c r="D60" s="207">
        <f>IF($G$12&lt;=36,0,'Spec. systeem'!K40)</f>
        <v>-315</v>
      </c>
      <c r="E60" s="208">
        <f t="shared" si="9"/>
        <v>315</v>
      </c>
      <c r="F60" s="209">
        <f t="shared" si="1"/>
        <v>0.1764544202343325</v>
      </c>
      <c r="G60" s="210">
        <f t="shared" si="2"/>
        <v>55.583142373814738</v>
      </c>
      <c r="H60" s="61"/>
      <c r="I60" s="84">
        <f t="shared" si="3"/>
        <v>5.6671858867122404</v>
      </c>
      <c r="J60" s="85">
        <f t="shared" si="4"/>
        <v>0.1764544202343325</v>
      </c>
    </row>
    <row r="61" spans="1:10" ht="14" x14ac:dyDescent="0.15">
      <c r="A61" s="205">
        <v>38</v>
      </c>
      <c r="B61" s="206"/>
      <c r="C61" s="225">
        <v>0</v>
      </c>
      <c r="D61" s="207">
        <f>IF($G$12&lt;=37,0,'Spec. systeem'!K41)</f>
        <v>-15</v>
      </c>
      <c r="E61" s="208">
        <f t="shared" si="9"/>
        <v>315</v>
      </c>
      <c r="F61" s="209">
        <f t="shared" si="1"/>
        <v>0.16837253839153862</v>
      </c>
      <c r="G61" s="210">
        <f t="shared" si="2"/>
        <v>53.037349593334667</v>
      </c>
      <c r="H61" s="61"/>
      <c r="I61" s="84">
        <f t="shared" si="3"/>
        <v>5.9392108092744289</v>
      </c>
      <c r="J61" s="85">
        <f t="shared" si="4"/>
        <v>0.16837253839153862</v>
      </c>
    </row>
    <row r="62" spans="1:10" ht="14" x14ac:dyDescent="0.15">
      <c r="A62" s="198">
        <v>39</v>
      </c>
      <c r="B62" s="206"/>
      <c r="C62" s="225">
        <v>0</v>
      </c>
      <c r="D62" s="207">
        <f>IF($G$12&lt;=38,0,'Spec. systeem'!K42)</f>
        <v>-15</v>
      </c>
      <c r="E62" s="208">
        <f t="shared" si="9"/>
        <v>15</v>
      </c>
      <c r="F62" s="209">
        <f t="shared" si="1"/>
        <v>0.16066081907589566</v>
      </c>
      <c r="G62" s="210">
        <f t="shared" si="2"/>
        <v>2.409912286138435</v>
      </c>
      <c r="H62" s="61"/>
      <c r="I62" s="84">
        <f t="shared" si="3"/>
        <v>6.2242929281196009</v>
      </c>
      <c r="J62" s="85">
        <f t="shared" si="4"/>
        <v>0.16066081907589566</v>
      </c>
    </row>
    <row r="63" spans="1:10" ht="14" x14ac:dyDescent="0.15">
      <c r="A63" s="205">
        <v>40</v>
      </c>
      <c r="B63" s="206"/>
      <c r="C63" s="225">
        <v>0</v>
      </c>
      <c r="D63" s="207">
        <f>IF($G$12&lt;=39,0,'Spec. systeem'!K43)</f>
        <v>-15</v>
      </c>
      <c r="E63" s="208">
        <f t="shared" si="9"/>
        <v>15</v>
      </c>
      <c r="F63" s="209">
        <f t="shared" si="1"/>
        <v>0.15330230827852634</v>
      </c>
      <c r="G63" s="210">
        <f t="shared" si="2"/>
        <v>2.2995346241778951</v>
      </c>
      <c r="H63" s="61"/>
      <c r="I63" s="84">
        <f t="shared" si="3"/>
        <v>6.5230589886693435</v>
      </c>
      <c r="J63" s="85">
        <f t="shared" si="4"/>
        <v>0.15330230827852634</v>
      </c>
    </row>
    <row r="64" spans="1:10" ht="14" x14ac:dyDescent="0.15">
      <c r="A64" s="205">
        <v>41</v>
      </c>
      <c r="B64" s="206"/>
      <c r="C64" s="225">
        <v>0</v>
      </c>
      <c r="D64" s="207">
        <f>IF($G$12&lt;=40,0,'Spec. systeem'!K44)</f>
        <v>-315</v>
      </c>
      <c r="E64" s="208">
        <f t="shared" si="9"/>
        <v>15</v>
      </c>
      <c r="F64" s="209">
        <f t="shared" si="1"/>
        <v>0.14628082851004423</v>
      </c>
      <c r="G64" s="210">
        <f t="shared" si="2"/>
        <v>2.1942124276506636</v>
      </c>
      <c r="H64" s="61"/>
      <c r="I64" s="84">
        <f t="shared" si="3"/>
        <v>6.8361658201254718</v>
      </c>
      <c r="J64" s="85">
        <f t="shared" si="4"/>
        <v>0.14628082851004423</v>
      </c>
    </row>
    <row r="65" spans="1:10" ht="14" x14ac:dyDescent="0.15">
      <c r="A65" s="198">
        <v>42</v>
      </c>
      <c r="B65" s="206"/>
      <c r="C65" s="225">
        <v>0</v>
      </c>
      <c r="D65" s="207">
        <f>IF($G$12&lt;=41,0,'Spec. systeem'!K45)</f>
        <v>-615</v>
      </c>
      <c r="E65" s="208">
        <f t="shared" si="9"/>
        <v>315</v>
      </c>
      <c r="F65" s="209">
        <f t="shared" si="1"/>
        <v>0.13958094323477502</v>
      </c>
      <c r="G65" s="210">
        <f t="shared" si="2"/>
        <v>43.967997118954131</v>
      </c>
      <c r="H65" s="61"/>
      <c r="I65" s="84">
        <f t="shared" si="3"/>
        <v>7.1643017794914954</v>
      </c>
      <c r="J65" s="85">
        <f t="shared" si="4"/>
        <v>0.13958094323477502</v>
      </c>
    </row>
    <row r="66" spans="1:10" ht="14" x14ac:dyDescent="0.15">
      <c r="A66" s="205">
        <v>43</v>
      </c>
      <c r="B66" s="206"/>
      <c r="C66" s="225">
        <v>0</v>
      </c>
      <c r="D66" s="207">
        <f>IF($G$12&lt;=42,0,'Spec. systeem'!K46)</f>
        <v>-315</v>
      </c>
      <c r="E66" s="208">
        <f t="shared" si="9"/>
        <v>615</v>
      </c>
      <c r="F66" s="209">
        <f t="shared" si="1"/>
        <v>0.13318792293394563</v>
      </c>
      <c r="G66" s="210">
        <f t="shared" si="2"/>
        <v>81.910572604376569</v>
      </c>
      <c r="H66" s="61"/>
      <c r="I66" s="84">
        <f t="shared" si="3"/>
        <v>7.508188264907087</v>
      </c>
      <c r="J66" s="85">
        <f t="shared" si="4"/>
        <v>0.13318792293394563</v>
      </c>
    </row>
    <row r="67" spans="1:10" ht="14" x14ac:dyDescent="0.15">
      <c r="A67" s="205">
        <v>44</v>
      </c>
      <c r="B67" s="206"/>
      <c r="C67" s="225">
        <v>0</v>
      </c>
      <c r="D67" s="207">
        <f>IF($G$12&lt;=43,0,'Spec. systeem'!K47)</f>
        <v>-315</v>
      </c>
      <c r="E67" s="208">
        <f t="shared" si="9"/>
        <v>315</v>
      </c>
      <c r="F67" s="209">
        <f t="shared" si="1"/>
        <v>0.12708771272323052</v>
      </c>
      <c r="G67" s="210">
        <f t="shared" si="2"/>
        <v>40.032629507817617</v>
      </c>
      <c r="H67" s="61"/>
      <c r="I67" s="84">
        <f t="shared" si="3"/>
        <v>7.8685813016226298</v>
      </c>
      <c r="J67" s="85">
        <f t="shared" si="4"/>
        <v>0.12708771272323052</v>
      </c>
    </row>
    <row r="68" spans="1:10" ht="14" x14ac:dyDescent="0.15">
      <c r="A68" s="198">
        <v>45</v>
      </c>
      <c r="B68" s="206"/>
      <c r="C68" s="225">
        <v>0</v>
      </c>
      <c r="D68" s="207">
        <f>IF($G$12&lt;=44,0,'Spec. systeem'!K48)</f>
        <v>-315</v>
      </c>
      <c r="E68" s="208">
        <f t="shared" si="9"/>
        <v>315</v>
      </c>
      <c r="F68" s="209">
        <f t="shared" si="1"/>
        <v>0.12126690145346425</v>
      </c>
      <c r="G68" s="210">
        <f t="shared" si="2"/>
        <v>38.199073957841236</v>
      </c>
      <c r="H68" s="61"/>
      <c r="I68" s="84">
        <f t="shared" si="3"/>
        <v>8.2462732041005147</v>
      </c>
      <c r="J68" s="85">
        <f t="shared" si="4"/>
        <v>0.12126690145346425</v>
      </c>
    </row>
    <row r="69" spans="1:10" ht="14" x14ac:dyDescent="0.15">
      <c r="A69" s="205">
        <v>46</v>
      </c>
      <c r="B69" s="206"/>
      <c r="C69" s="225">
        <v>0</v>
      </c>
      <c r="D69" s="207">
        <f>IF($G$12&lt;=45,0,'Spec. systeem'!K49)</f>
        <v>-15</v>
      </c>
      <c r="E69" s="208">
        <f t="shared" si="9"/>
        <v>315</v>
      </c>
      <c r="F69" s="209">
        <f t="shared" si="1"/>
        <v>0.11571269222658799</v>
      </c>
      <c r="G69" s="210">
        <f t="shared" si="2"/>
        <v>36.449498051375215</v>
      </c>
      <c r="H69" s="61"/>
      <c r="I69" s="84">
        <f t="shared" si="3"/>
        <v>8.6420943178973424</v>
      </c>
      <c r="J69" s="85">
        <f t="shared" si="4"/>
        <v>0.11571269222658799</v>
      </c>
    </row>
    <row r="70" spans="1:10" ht="14" x14ac:dyDescent="0.15">
      <c r="A70" s="205">
        <v>47</v>
      </c>
      <c r="B70" s="206"/>
      <c r="C70" s="225">
        <v>0</v>
      </c>
      <c r="D70" s="207">
        <f>IF($G$12&lt;=946,0,'Spec. systeem'!K50)</f>
        <v>0</v>
      </c>
      <c r="E70" s="208">
        <f t="shared" si="9"/>
        <v>15</v>
      </c>
      <c r="F70" s="209">
        <f t="shared" si="1"/>
        <v>0.11041287426201145</v>
      </c>
      <c r="G70" s="210">
        <f t="shared" si="2"/>
        <v>1.6561931139301718</v>
      </c>
      <c r="H70" s="61"/>
      <c r="I70" s="84">
        <f t="shared" si="3"/>
        <v>9.0569148451564132</v>
      </c>
      <c r="J70" s="85">
        <f t="shared" si="4"/>
        <v>0.11041287426201145</v>
      </c>
    </row>
    <row r="71" spans="1:10" ht="14" x14ac:dyDescent="0.15">
      <c r="A71" s="205">
        <v>48</v>
      </c>
      <c r="B71" s="206"/>
      <c r="C71" s="225">
        <v>0</v>
      </c>
      <c r="D71" s="207">
        <f>IF($G$12&lt;=47,0,'Spec. systeem'!K51)</f>
        <v>-315</v>
      </c>
      <c r="E71" s="208">
        <f t="shared" si="9"/>
        <v>0</v>
      </c>
      <c r="F71" s="209">
        <f t="shared" si="1"/>
        <v>0.10535579605153762</v>
      </c>
      <c r="G71" s="210">
        <f t="shared" si="2"/>
        <v>0</v>
      </c>
      <c r="H71" s="61"/>
      <c r="I71" s="84">
        <f t="shared" si="3"/>
        <v>9.4916467577239239</v>
      </c>
      <c r="J71" s="85">
        <f t="shared" si="4"/>
        <v>0.10535579605153762</v>
      </c>
    </row>
    <row r="72" spans="1:10" ht="14" x14ac:dyDescent="0.15">
      <c r="A72" s="205">
        <v>49</v>
      </c>
      <c r="B72" s="206"/>
      <c r="C72" s="225">
        <v>0</v>
      </c>
      <c r="D72" s="207">
        <f>IF($G$12&lt;=48,0,'Spec. systeem'!K52)</f>
        <v>-315</v>
      </c>
      <c r="E72" s="208">
        <f t="shared" si="9"/>
        <v>315</v>
      </c>
      <c r="F72" s="209">
        <f t="shared" si="1"/>
        <v>0.10053033974383359</v>
      </c>
      <c r="G72" s="210">
        <f t="shared" si="2"/>
        <v>31.667057019307581</v>
      </c>
      <c r="H72" s="61"/>
      <c r="I72" s="84">
        <f t="shared" si="3"/>
        <v>9.9472458020946739</v>
      </c>
      <c r="J72" s="85">
        <f t="shared" si="4"/>
        <v>0.10053033974383359</v>
      </c>
    </row>
    <row r="73" spans="1:10" ht="14" x14ac:dyDescent="0.15">
      <c r="A73" s="205">
        <v>50</v>
      </c>
      <c r="B73" s="206"/>
      <c r="C73" s="225">
        <v>0</v>
      </c>
      <c r="D73" s="207">
        <f>IF($G$12&lt;=49,0,'Spec. systeem'!K53)</f>
        <v>0</v>
      </c>
      <c r="E73" s="208">
        <f t="shared" si="9"/>
        <v>315</v>
      </c>
      <c r="F73" s="209">
        <f t="shared" si="1"/>
        <v>9.5925896702131266E-2</v>
      </c>
      <c r="G73" s="210">
        <f t="shared" si="2"/>
        <v>30.216657461171348</v>
      </c>
      <c r="H73" s="61"/>
      <c r="I73" s="84">
        <f t="shared" si="3"/>
        <v>10.42471360059522</v>
      </c>
      <c r="J73" s="85">
        <f t="shared" si="4"/>
        <v>9.5925896702131266E-2</v>
      </c>
    </row>
    <row r="74" spans="1:10" ht="15" thickBot="1" x14ac:dyDescent="0.2">
      <c r="A74" s="211"/>
      <c r="B74" s="212"/>
      <c r="C74" s="211"/>
      <c r="D74" s="213"/>
      <c r="E74" s="211"/>
      <c r="F74" s="214"/>
      <c r="G74" s="215"/>
      <c r="H74" s="33"/>
      <c r="I74" s="86"/>
      <c r="J74" s="87"/>
    </row>
    <row r="75" spans="1:10" ht="15" thickBot="1" x14ac:dyDescent="0.2">
      <c r="A75" s="43" t="s">
        <v>9</v>
      </c>
      <c r="B75" s="44"/>
      <c r="C75" s="69">
        <f>SUM(C23:C74)</f>
        <v>0</v>
      </c>
      <c r="D75" s="70">
        <f>SUM(D23:D74)</f>
        <v>-10920</v>
      </c>
      <c r="E75" s="69">
        <f>SUM(E23:E74)</f>
        <v>10920</v>
      </c>
      <c r="F75" s="98"/>
      <c r="G75" s="45">
        <f>SUM(G24:G74)</f>
        <v>4378.6050492987479</v>
      </c>
      <c r="H75" s="61"/>
      <c r="I75" s="4"/>
      <c r="J75" s="5"/>
    </row>
    <row r="76" spans="1:10" ht="14" x14ac:dyDescent="0.15">
      <c r="A76" s="42"/>
      <c r="B76" s="32"/>
      <c r="C76" s="42"/>
      <c r="D76" s="30"/>
      <c r="E76" s="42"/>
      <c r="F76" s="97"/>
      <c r="G76" s="30"/>
      <c r="H76" s="33"/>
      <c r="I76" s="4"/>
      <c r="J76" s="5"/>
    </row>
    <row r="77" spans="1:10" ht="14" x14ac:dyDescent="0.15">
      <c r="A77" s="198">
        <v>0</v>
      </c>
      <c r="B77" s="218" t="s">
        <v>10</v>
      </c>
      <c r="C77" s="219"/>
      <c r="D77" s="220">
        <f>C11</f>
        <v>0</v>
      </c>
      <c r="E77" s="202">
        <f>C77-D77</f>
        <v>0</v>
      </c>
      <c r="F77" s="203">
        <f>J23</f>
        <v>1</v>
      </c>
      <c r="G77" s="220">
        <f>E77*F77</f>
        <v>0</v>
      </c>
      <c r="H77" s="61"/>
      <c r="I77" s="4"/>
      <c r="J77" s="5"/>
    </row>
    <row r="78" spans="1:10" ht="14" x14ac:dyDescent="0.15">
      <c r="A78" s="205">
        <v>1</v>
      </c>
      <c r="B78" s="221" t="s">
        <v>10</v>
      </c>
      <c r="C78" s="222"/>
      <c r="D78" s="210">
        <f>C12</f>
        <v>0</v>
      </c>
      <c r="E78" s="208">
        <f>C78-D78</f>
        <v>0</v>
      </c>
      <c r="F78" s="209">
        <f>J24</f>
        <v>0.95419847328244267</v>
      </c>
      <c r="G78" s="210">
        <f>E78*F78</f>
        <v>0</v>
      </c>
      <c r="H78" s="61"/>
      <c r="I78" s="4"/>
      <c r="J78" s="5"/>
    </row>
    <row r="79" spans="1:10" ht="14" x14ac:dyDescent="0.15">
      <c r="A79" s="205">
        <v>2</v>
      </c>
      <c r="B79" s="221" t="s">
        <v>10</v>
      </c>
      <c r="C79" s="222"/>
      <c r="D79" s="210">
        <f>C13</f>
        <v>0</v>
      </c>
      <c r="E79" s="208">
        <f>C79-D79</f>
        <v>0</v>
      </c>
      <c r="F79" s="209">
        <f>J68</f>
        <v>0.12126690145346425</v>
      </c>
      <c r="G79" s="210">
        <f>E79*F79</f>
        <v>0</v>
      </c>
      <c r="H79" s="61"/>
      <c r="I79" s="4"/>
      <c r="J79" s="5"/>
    </row>
    <row r="80" spans="1:10" ht="15" thickBot="1" x14ac:dyDescent="0.2">
      <c r="A80" s="211"/>
      <c r="B80" s="212"/>
      <c r="C80" s="211"/>
      <c r="D80" s="215"/>
      <c r="E80" s="211"/>
      <c r="F80" s="214"/>
      <c r="G80" s="215"/>
      <c r="H80" s="33"/>
      <c r="I80" s="4"/>
      <c r="J80" s="5"/>
    </row>
    <row r="81" spans="1:10" ht="15" thickBot="1" x14ac:dyDescent="0.2">
      <c r="A81" s="43" t="s">
        <v>9</v>
      </c>
      <c r="B81" s="44" t="s">
        <v>10</v>
      </c>
      <c r="C81" s="43"/>
      <c r="D81" s="45">
        <f>SUM(D77:D80)</f>
        <v>0</v>
      </c>
      <c r="E81" s="43"/>
      <c r="F81" s="99"/>
      <c r="G81" s="45">
        <f>SUM(G77:G80)</f>
        <v>0</v>
      </c>
      <c r="H81" s="61"/>
      <c r="I81" s="4"/>
      <c r="J81" s="5"/>
    </row>
    <row r="82" spans="1:10" ht="14" x14ac:dyDescent="0.15">
      <c r="A82" s="42"/>
      <c r="B82" s="32"/>
      <c r="C82" s="42"/>
      <c r="D82" s="30"/>
      <c r="E82" s="42"/>
      <c r="F82" s="97"/>
      <c r="G82" s="30"/>
      <c r="H82" s="33"/>
      <c r="I82" s="4"/>
      <c r="J82" s="5"/>
    </row>
    <row r="83" spans="1:10" ht="14" x14ac:dyDescent="0.15">
      <c r="A83" s="223">
        <f>G12</f>
        <v>50</v>
      </c>
      <c r="B83" s="218" t="s">
        <v>11</v>
      </c>
      <c r="C83" s="202">
        <f>IF(G11&gt;=0,G11,0)</f>
        <v>0</v>
      </c>
      <c r="D83" s="204">
        <f>IF(G11&lt;=0,G11,0)</f>
        <v>0</v>
      </c>
      <c r="E83" s="202">
        <f>C83-D83</f>
        <v>0</v>
      </c>
      <c r="F83" s="224">
        <f>1/(1+$G$13)^A83</f>
        <v>9.5925896702131266E-2</v>
      </c>
      <c r="G83" s="220">
        <f>E83*F83</f>
        <v>0</v>
      </c>
      <c r="H83" s="61"/>
      <c r="I83" s="4"/>
      <c r="J83" s="5"/>
    </row>
    <row r="84" spans="1:10" ht="15" thickBot="1" x14ac:dyDescent="0.2">
      <c r="A84" s="46"/>
      <c r="B84" s="47"/>
      <c r="C84" s="46"/>
      <c r="D84" s="48"/>
      <c r="E84" s="46"/>
      <c r="F84" s="100"/>
      <c r="G84" s="48"/>
      <c r="H84" s="62"/>
      <c r="I84" s="4"/>
      <c r="J84" s="5"/>
    </row>
    <row r="85" spans="1:10" ht="6.75" customHeight="1" thickBot="1" x14ac:dyDescent="0.2">
      <c r="A85" s="64"/>
      <c r="B85" s="65"/>
      <c r="C85" s="67"/>
      <c r="D85" s="68"/>
      <c r="E85" s="67"/>
      <c r="F85" s="101"/>
      <c r="G85" s="66"/>
      <c r="H85" s="62"/>
      <c r="I85" s="4"/>
      <c r="J85" s="5"/>
    </row>
    <row r="86" spans="1:10" ht="18" thickTop="1" thickBot="1" x14ac:dyDescent="0.25">
      <c r="A86" s="49" t="s">
        <v>8</v>
      </c>
      <c r="B86" s="102" t="s">
        <v>40</v>
      </c>
      <c r="C86" s="71"/>
      <c r="D86" s="71"/>
      <c r="E86" s="71"/>
      <c r="F86" s="103"/>
      <c r="G86" s="63">
        <f>G75+G81+G83</f>
        <v>4378.6050492987479</v>
      </c>
      <c r="H86" s="61"/>
      <c r="I86" s="4"/>
      <c r="J86" s="5"/>
    </row>
    <row r="87" spans="1:10" ht="15" thickTop="1" thickBot="1" x14ac:dyDescent="0.2">
      <c r="A87" s="23"/>
      <c r="B87" s="24"/>
      <c r="C87" s="24"/>
      <c r="D87" s="24"/>
      <c r="E87" s="24"/>
      <c r="F87" s="24"/>
      <c r="G87" s="24"/>
      <c r="H87" s="24"/>
      <c r="I87" s="20"/>
      <c r="J87" s="21"/>
    </row>
    <row r="88" spans="1:10" ht="16" thickTop="1" thickBot="1" x14ac:dyDescent="0.2">
      <c r="A88" s="104" t="s">
        <v>41</v>
      </c>
      <c r="B88" s="71"/>
      <c r="C88" s="71"/>
      <c r="D88" s="71"/>
      <c r="E88" s="71"/>
      <c r="F88" s="71"/>
      <c r="G88" s="71"/>
      <c r="H88" s="71"/>
      <c r="I88" s="72"/>
      <c r="J88" s="73"/>
    </row>
    <row r="89" spans="1:10" ht="14" thickTop="1" x14ac:dyDescent="0.15">
      <c r="A89" s="1"/>
      <c r="B89" s="1"/>
      <c r="C89" s="1"/>
      <c r="D89" s="1"/>
      <c r="E89" s="1"/>
      <c r="F89" s="1"/>
      <c r="G89" s="1"/>
      <c r="H89" s="1"/>
    </row>
    <row r="90" spans="1:10" ht="16" x14ac:dyDescent="0.2">
      <c r="A90" s="13" t="s">
        <v>77</v>
      </c>
      <c r="B90" s="1"/>
      <c r="C90" s="1"/>
      <c r="D90" s="1"/>
      <c r="E90" s="1"/>
      <c r="F90" s="1"/>
      <c r="G90" s="1"/>
      <c r="H90" s="1"/>
    </row>
    <row r="91" spans="1:10" x14ac:dyDescent="0.15">
      <c r="E91" s="124"/>
    </row>
    <row r="92" spans="1:10" x14ac:dyDescent="0.15">
      <c r="A92" s="1"/>
    </row>
    <row r="93" spans="1:10" x14ac:dyDescent="0.15">
      <c r="A93" s="1"/>
    </row>
  </sheetData>
  <sheetProtection password="DD6F" sheet="1" objects="1" scenarios="1"/>
  <phoneticPr fontId="14" type="noConversion"/>
  <printOptions horizontalCentered="1" verticalCentered="1" headings="1"/>
  <pageMargins left="0.78740157480314965" right="0.78740157480314965" top="0.62992125984251968" bottom="0.47244094488188981" header="0.59055118110236227" footer="0.27559055118110237"/>
  <pageSetup paperSize="9" scale="71" orientation="landscape" horizontalDpi="300" verticalDpi="300"/>
  <headerFooter alignWithMargins="0">
    <oddFooter>&amp;L&amp;"Times New Roman,Standaard"&amp;12&amp;A&amp;C&amp;"Times New Roman,Standaard"&amp;F&amp;R&amp;"Times New Roman,Standaard"&amp;14 3-3-110M Blatt 02</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B1:AD45"/>
  <sheetViews>
    <sheetView showGridLines="0" showRowColHeaders="0" tabSelected="1" topLeftCell="A2" zoomScale="113" zoomScaleNormal="100" workbookViewId="0">
      <selection activeCell="O13" sqref="O13"/>
    </sheetView>
  </sheetViews>
  <sheetFormatPr baseColWidth="10" defaultRowHeight="13" x14ac:dyDescent="0.15"/>
  <cols>
    <col min="1" max="1" width="2.6640625" customWidth="1"/>
    <col min="2" max="2" width="9.83203125" customWidth="1"/>
    <col min="3" max="3" width="5" customWidth="1"/>
    <col min="4" max="4" width="25.6640625" customWidth="1"/>
    <col min="5" max="5" width="16" customWidth="1"/>
    <col min="8" max="8" width="18" customWidth="1"/>
    <col min="9" max="9" width="41.83203125" customWidth="1"/>
    <col min="10" max="10" width="50.6640625" customWidth="1"/>
    <col min="11" max="11" width="7.6640625" customWidth="1"/>
    <col min="12" max="12" width="5.33203125" customWidth="1"/>
    <col min="13" max="13" width="2.5" customWidth="1"/>
    <col min="14" max="14" width="4.1640625" customWidth="1"/>
    <col min="15" max="15" width="4.83203125" style="239" customWidth="1"/>
    <col min="16" max="16" width="5.5" customWidth="1"/>
    <col min="29" max="30" width="0" hidden="1" customWidth="1"/>
  </cols>
  <sheetData>
    <row r="1" spans="2:30" ht="14" thickBot="1" x14ac:dyDescent="0.2"/>
    <row r="2" spans="2:30" ht="14" thickTop="1" x14ac:dyDescent="0.15">
      <c r="B2" s="230"/>
      <c r="C2" s="50"/>
      <c r="D2" s="50"/>
      <c r="E2" s="50"/>
      <c r="F2" s="50"/>
      <c r="G2" s="50"/>
      <c r="H2" s="231"/>
      <c r="I2" s="4"/>
    </row>
    <row r="3" spans="2:30" ht="27" customHeight="1" x14ac:dyDescent="0.15">
      <c r="B3" s="113"/>
      <c r="C3" s="235"/>
      <c r="D3" s="4"/>
      <c r="E3" s="4"/>
      <c r="F3" s="4"/>
      <c r="H3" s="114"/>
      <c r="I3" s="4"/>
      <c r="AC3">
        <v>10</v>
      </c>
      <c r="AD3" s="329" t="s">
        <v>134</v>
      </c>
    </row>
    <row r="4" spans="2:30" ht="24" customHeight="1" x14ac:dyDescent="0.15">
      <c r="B4" s="113"/>
      <c r="C4" s="4"/>
      <c r="D4" s="4"/>
      <c r="E4" s="4"/>
      <c r="G4" s="4"/>
      <c r="H4" s="114"/>
      <c r="I4" s="4"/>
      <c r="AC4">
        <v>20</v>
      </c>
      <c r="AD4" s="329" t="s">
        <v>212</v>
      </c>
    </row>
    <row r="5" spans="2:30" hidden="1" x14ac:dyDescent="0.15">
      <c r="B5" s="113"/>
      <c r="C5" s="4"/>
      <c r="D5" s="4"/>
      <c r="E5" s="4"/>
      <c r="F5" s="4"/>
      <c r="G5" s="4"/>
      <c r="H5" s="114"/>
      <c r="I5" s="4"/>
    </row>
    <row r="6" spans="2:30" ht="83" customHeight="1" x14ac:dyDescent="0.15">
      <c r="B6" s="113"/>
      <c r="C6" s="4"/>
      <c r="D6" s="243"/>
      <c r="F6" s="240" t="s">
        <v>92</v>
      </c>
      <c r="G6" s="4"/>
      <c r="H6" s="114"/>
      <c r="I6" s="4"/>
      <c r="AC6">
        <v>25</v>
      </c>
    </row>
    <row r="7" spans="2:30" ht="62" customHeight="1" x14ac:dyDescent="0.15">
      <c r="B7" s="113"/>
      <c r="C7" s="4"/>
      <c r="D7" s="229"/>
      <c r="E7" s="234"/>
      <c r="F7" s="4"/>
      <c r="G7" s="4"/>
      <c r="H7" s="114"/>
      <c r="I7" s="4"/>
      <c r="AC7">
        <v>30</v>
      </c>
    </row>
    <row r="8" spans="2:30" ht="60" customHeight="1" x14ac:dyDescent="0.15">
      <c r="B8" s="113"/>
      <c r="C8" s="229"/>
      <c r="D8" s="229"/>
      <c r="E8" s="229"/>
      <c r="F8" s="59"/>
      <c r="G8" s="244"/>
      <c r="H8" s="114"/>
      <c r="I8" s="4"/>
      <c r="AC8">
        <v>40</v>
      </c>
    </row>
    <row r="9" spans="2:30" ht="20" customHeight="1" thickBot="1" x14ac:dyDescent="0.2">
      <c r="B9" s="232"/>
      <c r="C9" s="51"/>
      <c r="D9" s="51"/>
      <c r="E9" s="51"/>
      <c r="F9" s="51"/>
      <c r="G9" s="51"/>
      <c r="H9" s="233"/>
      <c r="I9" s="4"/>
      <c r="AC9">
        <v>50</v>
      </c>
    </row>
    <row r="10" spans="2:30" ht="11" customHeight="1" thickTop="1" x14ac:dyDescent="0.15">
      <c r="B10" s="4"/>
      <c r="C10" s="4"/>
      <c r="D10" s="4"/>
      <c r="E10" s="4"/>
      <c r="F10" s="4"/>
      <c r="G10" s="4"/>
      <c r="H10" s="4"/>
      <c r="I10" s="4"/>
    </row>
    <row r="11" spans="2:30" ht="11" customHeight="1" x14ac:dyDescent="0.15">
      <c r="B11" s="329" t="s">
        <v>216</v>
      </c>
      <c r="J11" s="236" t="s">
        <v>87</v>
      </c>
      <c r="K11" s="236"/>
      <c r="L11" s="236"/>
      <c r="M11" s="236"/>
      <c r="N11" s="236"/>
    </row>
    <row r="12" spans="2:30" ht="8" customHeight="1" x14ac:dyDescent="0.15">
      <c r="J12" s="237"/>
      <c r="K12" s="237"/>
      <c r="L12" s="237"/>
      <c r="M12" s="237"/>
      <c r="N12" s="237"/>
    </row>
    <row r="13" spans="2:30" ht="11" customHeight="1" x14ac:dyDescent="0.15">
      <c r="B13" s="329" t="s">
        <v>217</v>
      </c>
      <c r="J13" s="237" t="s">
        <v>90</v>
      </c>
      <c r="L13" s="237"/>
      <c r="M13" s="247" t="s">
        <v>102</v>
      </c>
      <c r="N13" s="237"/>
      <c r="O13" s="241" t="s">
        <v>79</v>
      </c>
    </row>
    <row r="14" spans="2:30" ht="5" customHeight="1" x14ac:dyDescent="0.15">
      <c r="J14" s="237"/>
      <c r="K14" s="237"/>
      <c r="L14" s="237"/>
      <c r="M14" s="247"/>
      <c r="N14" s="237"/>
      <c r="O14" s="237"/>
    </row>
    <row r="15" spans="2:30" ht="11" customHeight="1" x14ac:dyDescent="0.15">
      <c r="B15" s="329" t="s">
        <v>225</v>
      </c>
      <c r="J15" s="237" t="s">
        <v>88</v>
      </c>
      <c r="K15" s="237"/>
      <c r="L15" s="237"/>
      <c r="M15" s="247" t="s">
        <v>102</v>
      </c>
      <c r="N15" s="237"/>
      <c r="O15" s="241" t="s">
        <v>79</v>
      </c>
    </row>
    <row r="16" spans="2:30" ht="4" customHeight="1" x14ac:dyDescent="0.15">
      <c r="J16" s="237"/>
      <c r="K16" s="237"/>
      <c r="L16" s="237"/>
      <c r="M16" s="247"/>
      <c r="N16" s="237"/>
      <c r="O16" s="237"/>
    </row>
    <row r="17" spans="2:15" ht="11" customHeight="1" x14ac:dyDescent="0.15">
      <c r="B17" s="329" t="s">
        <v>226</v>
      </c>
      <c r="J17" s="237" t="s">
        <v>133</v>
      </c>
      <c r="L17" s="237"/>
      <c r="M17" s="247" t="s">
        <v>102</v>
      </c>
      <c r="N17" s="237"/>
      <c r="O17" s="241" t="s">
        <v>80</v>
      </c>
    </row>
    <row r="18" spans="2:15" ht="5" customHeight="1" x14ac:dyDescent="0.15">
      <c r="O18" s="242"/>
    </row>
    <row r="19" spans="2:15" ht="11" customHeight="1" x14ac:dyDescent="0.15">
      <c r="B19" t="s">
        <v>91</v>
      </c>
      <c r="J19" s="237" t="s">
        <v>89</v>
      </c>
      <c r="K19" s="237"/>
      <c r="L19" s="237"/>
      <c r="M19" s="247" t="s">
        <v>102</v>
      </c>
      <c r="N19" s="237"/>
      <c r="O19" s="241" t="s">
        <v>79</v>
      </c>
    </row>
    <row r="20" spans="2:15" ht="5" customHeight="1" x14ac:dyDescent="0.15">
      <c r="J20" s="237"/>
      <c r="K20" s="237"/>
      <c r="L20" s="237"/>
      <c r="M20" s="247"/>
      <c r="N20" s="237"/>
      <c r="O20" s="237"/>
    </row>
    <row r="21" spans="2:15" ht="11" customHeight="1" x14ac:dyDescent="0.15">
      <c r="B21" s="329" t="s">
        <v>218</v>
      </c>
      <c r="J21" s="237" t="s">
        <v>96</v>
      </c>
      <c r="K21" s="237"/>
      <c r="L21" s="237"/>
      <c r="M21" s="247" t="s">
        <v>102</v>
      </c>
      <c r="N21" s="237"/>
      <c r="O21" s="241" t="s">
        <v>79</v>
      </c>
    </row>
    <row r="22" spans="2:15" ht="5" customHeight="1" x14ac:dyDescent="0.15">
      <c r="J22" s="237"/>
      <c r="K22" s="237"/>
      <c r="L22" s="237"/>
      <c r="M22" s="237"/>
      <c r="N22" s="237"/>
      <c r="O22" s="242"/>
    </row>
    <row r="23" spans="2:15" ht="11" customHeight="1" x14ac:dyDescent="0.15">
      <c r="J23" s="236" t="s">
        <v>86</v>
      </c>
      <c r="K23" s="236" t="s">
        <v>200</v>
      </c>
      <c r="L23" s="236" t="s">
        <v>99</v>
      </c>
      <c r="M23" s="236"/>
      <c r="N23" s="236"/>
      <c r="O23" s="242"/>
    </row>
    <row r="24" spans="2:15" ht="5" customHeight="1" x14ac:dyDescent="0.15">
      <c r="J24" s="238"/>
      <c r="K24" s="238"/>
      <c r="L24" s="238"/>
      <c r="M24" s="238"/>
      <c r="N24" s="238"/>
      <c r="O24" s="242"/>
    </row>
    <row r="25" spans="2:15" ht="11" customHeight="1" x14ac:dyDescent="0.15">
      <c r="B25" s="329" t="s">
        <v>219</v>
      </c>
      <c r="J25" s="237" t="str">
        <f>'Spec. systeem'!A22</f>
        <v>Vegitatiedak (mos sedum)</v>
      </c>
      <c r="K25" s="245">
        <f>'Spec. systeem'!B22</f>
        <v>0.5</v>
      </c>
      <c r="L25" s="276">
        <f>'Spec. systeem'!C22</f>
        <v>1</v>
      </c>
      <c r="M25" s="245"/>
      <c r="N25" s="237"/>
      <c r="O25" s="241" t="s">
        <v>80</v>
      </c>
    </row>
    <row r="26" spans="2:15" ht="5" customHeight="1" x14ac:dyDescent="0.15">
      <c r="J26" s="237"/>
      <c r="K26" s="245"/>
      <c r="L26" s="245"/>
      <c r="M26" s="245"/>
      <c r="N26" s="237"/>
      <c r="O26" s="237"/>
    </row>
    <row r="27" spans="2:15" ht="11" customHeight="1" x14ac:dyDescent="0.15">
      <c r="B27" s="329" t="s">
        <v>220</v>
      </c>
      <c r="J27" s="237" t="str">
        <f>'Spec. systeem'!A23</f>
        <v>Warmtepomp of luchtbehandelingssyteem op het dak aanwezig</v>
      </c>
      <c r="K27" s="245">
        <f>'Spec. systeem'!B23</f>
        <v>1</v>
      </c>
      <c r="L27" s="276">
        <f>'Spec. systeem'!C23</f>
        <v>1</v>
      </c>
      <c r="M27" s="245"/>
      <c r="N27" s="237"/>
      <c r="O27" s="241" t="s">
        <v>80</v>
      </c>
    </row>
    <row r="28" spans="2:15" ht="5" customHeight="1" x14ac:dyDescent="0.15">
      <c r="J28" s="237"/>
      <c r="K28" s="245"/>
      <c r="L28" s="245"/>
      <c r="M28" s="245"/>
      <c r="N28" s="237"/>
      <c r="O28" s="237"/>
    </row>
    <row r="29" spans="2:15" ht="11" customHeight="1" x14ac:dyDescent="0.15">
      <c r="B29" s="329" t="s">
        <v>221</v>
      </c>
      <c r="J29" s="237" t="str">
        <f>'Spec. systeem'!A24</f>
        <v>Zonnepanelen of  zonneboiler op het platte of hellende dak aanwezig</v>
      </c>
      <c r="K29" s="245">
        <f>'Spec. systeem'!B24</f>
        <v>4</v>
      </c>
      <c r="L29" s="276">
        <f>'Spec. systeem'!C24</f>
        <v>2</v>
      </c>
      <c r="M29" s="245"/>
      <c r="N29" s="237"/>
      <c r="O29" s="241" t="s">
        <v>79</v>
      </c>
    </row>
    <row r="30" spans="2:15" ht="5" customHeight="1" x14ac:dyDescent="0.15">
      <c r="J30" s="237"/>
      <c r="K30" s="245"/>
      <c r="L30" s="276"/>
      <c r="M30" s="245"/>
      <c r="N30" s="237"/>
      <c r="O30" s="237"/>
    </row>
    <row r="31" spans="2:15" ht="11" customHeight="1" x14ac:dyDescent="0.15">
      <c r="B31" s="329" t="s">
        <v>222</v>
      </c>
      <c r="J31" s="237" t="str">
        <f>'Spec. systeem'!A25</f>
        <v>Rookgasafvoer op het dak aanwezig</v>
      </c>
      <c r="K31" s="245">
        <f>'Spec. systeem'!B25</f>
        <v>18</v>
      </c>
      <c r="L31" s="276">
        <f>'Spec. systeem'!C25</f>
        <v>9</v>
      </c>
      <c r="M31" s="245"/>
      <c r="N31" s="237"/>
      <c r="O31" s="241" t="s">
        <v>79</v>
      </c>
    </row>
    <row r="32" spans="2:15" ht="5" customHeight="1" x14ac:dyDescent="0.15">
      <c r="J32" s="237"/>
      <c r="K32" s="245"/>
      <c r="L32" s="275"/>
      <c r="M32" s="245"/>
      <c r="N32" s="237"/>
      <c r="O32" s="237"/>
    </row>
    <row r="33" spans="2:15" ht="11" customHeight="1" x14ac:dyDescent="0.15">
      <c r="B33" t="s">
        <v>201</v>
      </c>
      <c r="J33" s="237" t="str">
        <f>'Spec. systeem'!A26</f>
        <v>Bitimineuze dakbedekking op het dak aanwezig</v>
      </c>
      <c r="K33" s="245">
        <f>'Spec. systeem'!B26</f>
        <v>18</v>
      </c>
      <c r="L33" s="276">
        <f>'Spec. systeem'!C26</f>
        <v>1</v>
      </c>
      <c r="M33" s="245"/>
      <c r="N33" s="237"/>
      <c r="O33" s="241" t="s">
        <v>79</v>
      </c>
    </row>
    <row r="34" spans="2:15" ht="5" customHeight="1" x14ac:dyDescent="0.15">
      <c r="J34" s="237"/>
      <c r="K34" s="245"/>
      <c r="L34" s="245"/>
      <c r="M34" s="245"/>
      <c r="N34" s="237"/>
      <c r="O34" s="237"/>
    </row>
    <row r="35" spans="2:15" ht="11" customHeight="1" x14ac:dyDescent="0.15">
      <c r="J35" s="237" t="str">
        <f>'Spec. systeem'!A27</f>
        <v>Kunststof dakbedekking op het dak aanwezig</v>
      </c>
      <c r="K35" s="245">
        <f>'Spec. systeem'!B27</f>
        <v>25</v>
      </c>
      <c r="L35" s="276">
        <f>'Spec. systeem'!C27</f>
        <v>1</v>
      </c>
      <c r="M35" s="245"/>
      <c r="N35" s="237"/>
      <c r="O35" s="241" t="s">
        <v>80</v>
      </c>
    </row>
    <row r="36" spans="2:15" ht="5" customHeight="1" x14ac:dyDescent="0.15">
      <c r="J36" s="237"/>
      <c r="K36" s="245"/>
      <c r="L36" s="245"/>
      <c r="M36" s="245"/>
      <c r="N36" s="237"/>
      <c r="O36" s="237"/>
    </row>
    <row r="37" spans="2:15" ht="11" customHeight="1" x14ac:dyDescent="0.15">
      <c r="B37" s="329" t="s">
        <v>227</v>
      </c>
      <c r="G37" s="346">
        <v>4.8</v>
      </c>
      <c r="J37" s="237" t="str">
        <f>'Spec. systeem'!A28</f>
        <v>Houten kozijnen boven de aanbouw aanwezig</v>
      </c>
      <c r="K37" s="245">
        <f>'Spec. systeem'!B28</f>
        <v>8</v>
      </c>
      <c r="L37" s="276">
        <f>'Spec. systeem'!C28</f>
        <v>4</v>
      </c>
      <c r="M37" s="245"/>
      <c r="N37" s="237"/>
      <c r="O37" s="241" t="s">
        <v>79</v>
      </c>
    </row>
    <row r="38" spans="2:15" ht="5" customHeight="1" x14ac:dyDescent="0.15">
      <c r="J38" s="237"/>
      <c r="K38" s="245"/>
      <c r="L38" s="245"/>
      <c r="M38" s="245"/>
      <c r="N38" s="237"/>
      <c r="O38" s="237"/>
    </row>
    <row r="39" spans="2:15" ht="11" customHeight="1" x14ac:dyDescent="0.15">
      <c r="B39" s="329" t="s">
        <v>215</v>
      </c>
      <c r="G39" s="330">
        <v>50</v>
      </c>
      <c r="J39" s="237" t="str">
        <f>'Spec. systeem'!A29</f>
        <v>Kunststof of aluminium kozijnen boven de aanbouw aanwezig</v>
      </c>
      <c r="K39" s="245">
        <f>'Spec. systeem'!B29</f>
        <v>12</v>
      </c>
      <c r="L39" s="276">
        <f>'Spec. systeem'!C29</f>
        <v>6</v>
      </c>
      <c r="M39" s="245"/>
      <c r="N39" s="237"/>
      <c r="O39" s="241" t="s">
        <v>80</v>
      </c>
    </row>
    <row r="40" spans="2:15" ht="5" customHeight="1" x14ac:dyDescent="0.15">
      <c r="B40" s="59"/>
      <c r="C40" s="59"/>
      <c r="D40" s="59"/>
      <c r="J40" s="237"/>
      <c r="K40" s="245"/>
      <c r="L40" s="245"/>
      <c r="M40" s="245"/>
      <c r="N40" s="237"/>
      <c r="O40" s="237"/>
    </row>
    <row r="41" spans="2:15" ht="11" customHeight="1" x14ac:dyDescent="0.15">
      <c r="B41" s="328" t="s">
        <v>211</v>
      </c>
      <c r="G41" s="344">
        <f>VLOOKUP(G39,'Spec. systeem'!AB3:AC52,2,TRUE)</f>
        <v>33.500000000000021</v>
      </c>
      <c r="J41" s="237" t="str">
        <f>'Spec. systeem'!A30</f>
        <v>Dakramen of koepels in het platte of hellende dak aanwezig</v>
      </c>
      <c r="K41" s="245">
        <f>'Spec. systeem'!B30</f>
        <v>22</v>
      </c>
      <c r="L41" s="276">
        <f>'Spec. systeem'!C30</f>
        <v>5</v>
      </c>
      <c r="M41" s="245"/>
      <c r="N41" s="237"/>
      <c r="O41" s="241" t="s">
        <v>79</v>
      </c>
    </row>
    <row r="42" spans="2:15" ht="5" customHeight="1" x14ac:dyDescent="0.15">
      <c r="J42" s="237"/>
      <c r="K42" s="245"/>
      <c r="L42" s="245"/>
      <c r="M42" s="245"/>
      <c r="N42" s="237"/>
      <c r="O42" s="237"/>
    </row>
    <row r="43" spans="2:15" ht="11" customHeight="1" x14ac:dyDescent="0.15">
      <c r="B43" s="329" t="s">
        <v>213</v>
      </c>
      <c r="G43" s="345">
        <f>'NCW-1 PITH'!G86</f>
        <v>1420.5104093210393</v>
      </c>
      <c r="J43" s="237" t="str">
        <f>'Spec. systeem'!A31</f>
        <v>Schoorstenen aanwezig</v>
      </c>
      <c r="K43" s="245">
        <f>'Spec. systeem'!B31</f>
        <v>20</v>
      </c>
      <c r="L43" s="276">
        <f>'Spec. systeem'!C31</f>
        <v>3</v>
      </c>
      <c r="M43" s="245"/>
      <c r="N43" s="237"/>
      <c r="O43" s="241" t="s">
        <v>79</v>
      </c>
    </row>
    <row r="44" spans="2:15" ht="6" customHeight="1" x14ac:dyDescent="0.15">
      <c r="J44" s="237"/>
      <c r="K44" s="245"/>
      <c r="L44" s="245"/>
      <c r="M44" s="245"/>
      <c r="N44" s="237"/>
      <c r="O44" s="237"/>
    </row>
    <row r="45" spans="2:15" ht="11" customHeight="1" x14ac:dyDescent="0.15">
      <c r="B45" s="329" t="s">
        <v>214</v>
      </c>
      <c r="G45" s="345">
        <f>'NCW-1 Regulier'!G86</f>
        <v>4378.6050492987479</v>
      </c>
      <c r="J45" s="237" t="str">
        <f>'Spec. systeem'!A32</f>
        <v>Dakafvoeren en goten in boom of bosrijke omgeving aanwezig</v>
      </c>
      <c r="K45" s="245">
        <f>'Spec. systeem'!B32</f>
        <v>1</v>
      </c>
      <c r="L45" s="276">
        <f>'Spec. systeem'!C32</f>
        <v>1</v>
      </c>
      <c r="M45" s="245"/>
      <c r="N45" s="237"/>
      <c r="O45" s="241" t="s">
        <v>80</v>
      </c>
    </row>
  </sheetData>
  <sheetProtection algorithmName="SHA-512" hashValue="+zvzenbD5SgBLg3YO7kWloQiYui6B3LopKcx/LzzdsPjdk2MJgGyxkkHUb+ZX4s/Dra57HqRjBNzkvpjS9jNQA==" saltValue="Ben+RS0ZuoxkfzOmXkRovA==" spinCount="100000" sheet="1" objects="1" scenarios="1" selectLockedCells="1"/>
  <phoneticPr fontId="14" type="noConversion"/>
  <conditionalFormatting sqref="E8">
    <cfRule type="expression" dxfId="12" priority="7">
      <formula>$O$19="nee"</formula>
    </cfRule>
  </conditionalFormatting>
  <conditionalFormatting sqref="G8">
    <cfRule type="expression" dxfId="11" priority="19">
      <formula>#REF!="ja"</formula>
    </cfRule>
  </conditionalFormatting>
  <conditionalFormatting sqref="F13:F14">
    <cfRule type="expression" dxfId="10" priority="20">
      <formula>($O$13="nee")</formula>
    </cfRule>
  </conditionalFormatting>
  <conditionalFormatting sqref="D6">
    <cfRule type="expression" dxfId="9" priority="21">
      <formula>$O$13="nee"</formula>
    </cfRule>
  </conditionalFormatting>
  <conditionalFormatting sqref="D7">
    <cfRule type="expression" dxfId="8" priority="22">
      <formula>#REF!="nee"</formula>
    </cfRule>
  </conditionalFormatting>
  <conditionalFormatting sqref="G8">
    <cfRule type="expression" dxfId="7" priority="23">
      <formula>$O$15="nee"</formula>
    </cfRule>
  </conditionalFormatting>
  <conditionalFormatting sqref="D8">
    <cfRule type="expression" dxfId="6" priority="26">
      <formula>#REF!="ja"</formula>
    </cfRule>
    <cfRule type="expression" dxfId="5" priority="27">
      <formula>#REF!="nee"</formula>
    </cfRule>
  </conditionalFormatting>
  <conditionalFormatting sqref="C8">
    <cfRule type="expression" dxfId="4" priority="29">
      <formula>$O$21="nee"</formula>
    </cfRule>
  </conditionalFormatting>
  <conditionalFormatting sqref="O39">
    <cfRule type="expression" dxfId="3" priority="4">
      <formula>IF($O$37="ja",$O$39="ja")</formula>
    </cfRule>
  </conditionalFormatting>
  <conditionalFormatting sqref="O35">
    <cfRule type="expression" dxfId="2" priority="3">
      <formula>IF($O$35="ja",$O$33="ja")</formula>
    </cfRule>
  </conditionalFormatting>
  <conditionalFormatting sqref="O33">
    <cfRule type="expression" dxfId="1" priority="2">
      <formula>IF($O$35="ja",$O$33="ja")</formula>
    </cfRule>
  </conditionalFormatting>
  <conditionalFormatting sqref="O37">
    <cfRule type="expression" dxfId="0" priority="1">
      <formula>IF($O$39="ja",$O$37="ja")</formula>
    </cfRule>
  </conditionalFormatting>
  <dataValidations count="1">
    <dataValidation allowBlank="1" showErrorMessage="1" sqref="G37" xr:uid="{00000000-0002-0000-0200-000000000000}"/>
  </dataValidations>
  <pageMargins left="0.25" right="0.25" top="1" bottom="1" header="0.3" footer="0.3"/>
  <pageSetup paperSize="9" scale="62" fitToWidth="0" fitToHeight="0" orientation="landscape" horizontalDpi="0" verticalDpi="0" copies="3"/>
  <headerFooter alignWithMargins="0">
    <oddFooter>&amp;L&amp;K000000CV PITH-Solutions U.A.&amp;R&amp;K000000&amp;D       &amp;T</oddFooter>
  </headerFooter>
  <rowBreaks count="1" manualBreakCount="1">
    <brk id="46" max="16383" man="1"/>
  </rowBreaks>
  <colBreaks count="2" manualBreakCount="2">
    <brk id="15" max="1048575" man="1"/>
    <brk id="16" max="1048575" man="1"/>
  </colBreaks>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5D5AD297-27C1-1441-B394-C441424B6409}">
          <x14:formula1>
            <xm:f>'Spec. systeem'!$A$45:$A$94</xm:f>
          </x14:formula1>
          <xm:sqref>G39</xm:sqref>
        </x14:dataValidation>
        <x14:dataValidation type="list" allowBlank="1" showInputMessage="1" showErrorMessage="1" xr:uid="{89F66986-BB40-214A-962A-40A324EFC568}">
          <x14:formula1>
            <xm:f>'Spec. systeem'!$A$38:$A$39</xm:f>
          </x14:formula1>
          <xm:sqref>O45 O13 O15 O17 O19 O21 O25 O27 O29 O31 O33 O35 O37 O39 O41 O43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dimension ref="A1:AR94"/>
  <sheetViews>
    <sheetView topLeftCell="A63" zoomScale="113" zoomScaleNormal="75" workbookViewId="0">
      <selection activeCell="A43" sqref="A43"/>
    </sheetView>
  </sheetViews>
  <sheetFormatPr baseColWidth="10" defaultRowHeight="13" x14ac:dyDescent="0.15"/>
  <cols>
    <col min="1" max="1" width="48.6640625" customWidth="1"/>
    <col min="2" max="2" width="16.1640625" customWidth="1"/>
    <col min="3" max="3" width="33.83203125" customWidth="1"/>
    <col min="4" max="4" width="8.1640625" customWidth="1"/>
    <col min="5" max="5" width="15.33203125" customWidth="1"/>
    <col min="6" max="6" width="11.6640625" bestFit="1" customWidth="1"/>
    <col min="7" max="7" width="17.83203125" bestFit="1" customWidth="1"/>
    <col min="8" max="8" width="10.5" bestFit="1" customWidth="1"/>
    <col min="9" max="9" width="10.5" customWidth="1"/>
    <col min="10" max="10" width="10.33203125" customWidth="1"/>
    <col min="11" max="11" width="15.6640625" customWidth="1"/>
    <col min="12" max="12" width="11.83203125" customWidth="1"/>
    <col min="13" max="13" width="12.33203125" bestFit="1" customWidth="1"/>
    <col min="14" max="14" width="14.6640625" customWidth="1"/>
    <col min="15" max="15" width="13.5" customWidth="1"/>
    <col min="16" max="16" width="12.5" customWidth="1"/>
    <col min="17" max="17" width="12" customWidth="1"/>
    <col min="18" max="18" width="22.33203125" customWidth="1"/>
    <col min="19" max="19" width="26.1640625" customWidth="1"/>
    <col min="20" max="20" width="20.5" customWidth="1"/>
    <col min="21" max="21" width="13" bestFit="1" customWidth="1"/>
    <col min="22" max="22" width="20.1640625" customWidth="1"/>
    <col min="23" max="23" width="21.5" customWidth="1"/>
    <col min="24" max="24" width="26.1640625" customWidth="1"/>
    <col min="26" max="27" width="28" customWidth="1"/>
  </cols>
  <sheetData>
    <row r="1" spans="1:44" x14ac:dyDescent="0.15">
      <c r="A1" s="261" t="s">
        <v>63</v>
      </c>
      <c r="B1" s="261"/>
      <c r="C1" s="261"/>
      <c r="D1" s="261"/>
      <c r="E1" s="261"/>
      <c r="F1" s="261"/>
      <c r="G1" s="261"/>
      <c r="H1" s="261"/>
      <c r="I1" s="1"/>
      <c r="J1" s="251"/>
      <c r="K1" s="251">
        <f>SUBTOTAL(9,K3:K52)</f>
        <v>-10950</v>
      </c>
      <c r="L1" s="251">
        <f>2*SUBTOTAL(3,L3:L52)</f>
        <v>100</v>
      </c>
      <c r="M1" s="251">
        <f t="shared" ref="M1:V1" si="0">SUBTOTAL(3,M3:M52)</f>
        <v>50</v>
      </c>
      <c r="N1" s="251">
        <f t="shared" si="0"/>
        <v>13</v>
      </c>
      <c r="O1" s="251">
        <f t="shared" si="0"/>
        <v>3</v>
      </c>
      <c r="P1" s="251">
        <f t="shared" si="0"/>
        <v>3</v>
      </c>
      <c r="Q1" s="251">
        <f t="shared" si="0"/>
        <v>2</v>
      </c>
      <c r="R1" s="251">
        <f t="shared" si="0"/>
        <v>6</v>
      </c>
      <c r="S1" s="251">
        <f t="shared" si="0"/>
        <v>4</v>
      </c>
      <c r="T1" s="251">
        <f t="shared" si="0"/>
        <v>3</v>
      </c>
      <c r="U1" s="251">
        <f t="shared" si="0"/>
        <v>3</v>
      </c>
      <c r="V1" s="251">
        <f t="shared" si="0"/>
        <v>50</v>
      </c>
      <c r="W1" s="274">
        <f>SUBTOTAL(3,W3:W52)/20</f>
        <v>2.5</v>
      </c>
      <c r="X1" s="329" t="s">
        <v>228</v>
      </c>
      <c r="AE1">
        <v>-15</v>
      </c>
    </row>
    <row r="2" spans="1:44" ht="39" customHeight="1" x14ac:dyDescent="0.15">
      <c r="A2" s="261"/>
      <c r="B2" s="261"/>
      <c r="C2" s="261"/>
      <c r="D2" s="261"/>
      <c r="E2" s="285" t="s">
        <v>149</v>
      </c>
      <c r="F2" s="261"/>
      <c r="G2" s="261"/>
      <c r="H2" s="261"/>
      <c r="I2" s="1"/>
      <c r="J2" s="251" t="s">
        <v>95</v>
      </c>
      <c r="K2" s="272" t="s">
        <v>98</v>
      </c>
      <c r="L2" s="272" t="str">
        <f>A22</f>
        <v>Vegitatiedak (mos sedum)</v>
      </c>
      <c r="M2" s="272" t="str">
        <f>A23</f>
        <v>Warmtepomp of luchtbehandelingssyteem op het dak aanwezig</v>
      </c>
      <c r="N2" s="272" t="str">
        <f>A24</f>
        <v>Zonnepanelen of  zonneboiler op het platte of hellende dak aanwezig</v>
      </c>
      <c r="O2" s="272" t="str">
        <f>A25</f>
        <v>Rookgasafvoer op het dak aanwezig</v>
      </c>
      <c r="P2" s="272" t="str">
        <f>A26</f>
        <v>Bitimineuze dakbedekking op het dak aanwezig</v>
      </c>
      <c r="Q2" s="272" t="str">
        <f>A27</f>
        <v>Kunststof dakbedekking op het dak aanwezig</v>
      </c>
      <c r="R2" s="272" t="str">
        <f>A28</f>
        <v>Houten kozijnen boven de aanbouw aanwezig</v>
      </c>
      <c r="S2" s="272" t="str">
        <f>A29</f>
        <v>Kunststof of aluminium kozijnen boven de aanbouw aanwezig</v>
      </c>
      <c r="T2" s="272" t="str">
        <f>A30</f>
        <v>Dakramen of koepels in het platte of hellende dak aanwezig</v>
      </c>
      <c r="U2" s="272" t="str">
        <f>A31</f>
        <v>Schoorstenen aanwezig</v>
      </c>
      <c r="V2" s="272" t="str">
        <f>A32</f>
        <v>Dakafvoeren en goten in boom of bosrijke omgeving aanwezig</v>
      </c>
      <c r="W2" s="272" t="str">
        <f>A33</f>
        <v xml:space="preserve">Klachtenonderhoud op daken 5% </v>
      </c>
      <c r="X2" s="336" t="s">
        <v>230</v>
      </c>
      <c r="Y2" s="329" t="s">
        <v>229</v>
      </c>
      <c r="Z2" s="328" t="s">
        <v>231</v>
      </c>
      <c r="AA2" s="328"/>
      <c r="AE2" s="339"/>
      <c r="AF2" s="339"/>
      <c r="AG2" s="339"/>
      <c r="AH2" s="339"/>
      <c r="AI2" s="339"/>
      <c r="AJ2" s="339"/>
      <c r="AK2" s="339"/>
      <c r="AL2" s="339"/>
      <c r="AM2" s="339"/>
      <c r="AN2" s="339"/>
      <c r="AO2" s="339"/>
      <c r="AP2" s="340" t="s">
        <v>232</v>
      </c>
    </row>
    <row r="3" spans="1:44" x14ac:dyDescent="0.15">
      <c r="A3" s="261"/>
      <c r="B3" s="261"/>
      <c r="C3" s="261"/>
      <c r="D3" s="261"/>
      <c r="E3" s="315">
        <v>5000</v>
      </c>
      <c r="F3" s="261"/>
      <c r="G3" s="261"/>
      <c r="H3" s="261"/>
      <c r="I3" s="1"/>
      <c r="J3" s="252">
        <v>1</v>
      </c>
      <c r="K3" s="253">
        <f>SUM(L3:W3)</f>
        <v>-315</v>
      </c>
      <c r="L3" s="253">
        <f>IF($G$22="ja",$E$22,0)</f>
        <v>0</v>
      </c>
      <c r="M3" s="253">
        <f t="shared" ref="M3:M34" si="1">IF($G$23="ja",$E$23,0)</f>
        <v>0</v>
      </c>
      <c r="N3" s="251"/>
      <c r="O3" s="251"/>
      <c r="P3" s="253">
        <f>IF($G$26="ja",$E$26,0)</f>
        <v>-300</v>
      </c>
      <c r="Q3" s="253">
        <f>IF($G$27="ja",$E$27,0)</f>
        <v>0</v>
      </c>
      <c r="R3" s="253"/>
      <c r="S3" s="251"/>
      <c r="T3" s="253"/>
      <c r="U3" s="253"/>
      <c r="V3" s="253">
        <f t="shared" ref="V3:V34" si="2">IF($G$32="ja",$E$32,0)</f>
        <v>0</v>
      </c>
      <c r="W3" s="253">
        <f t="shared" ref="W3:W34" si="3">IF($G$33="ja",$E$33,0)</f>
        <v>-15</v>
      </c>
      <c r="X3" s="338">
        <f>AP3</f>
        <v>1</v>
      </c>
      <c r="Y3">
        <f>1*0.05</f>
        <v>0.05</v>
      </c>
      <c r="Z3" s="328">
        <f>X3+Y3</f>
        <v>1.05</v>
      </c>
      <c r="AA3" s="328"/>
      <c r="AB3" s="343">
        <v>1</v>
      </c>
      <c r="AC3">
        <f>Z3</f>
        <v>1.05</v>
      </c>
      <c r="AE3" s="341">
        <f t="shared" ref="AE3:AO3" si="4">IF(L3&gt;$AE$1,0,1)</f>
        <v>0</v>
      </c>
      <c r="AF3" s="341">
        <f t="shared" si="4"/>
        <v>0</v>
      </c>
      <c r="AG3" s="341">
        <f t="shared" si="4"/>
        <v>0</v>
      </c>
      <c r="AH3" s="341">
        <f t="shared" si="4"/>
        <v>0</v>
      </c>
      <c r="AI3" s="341">
        <f t="shared" si="4"/>
        <v>1</v>
      </c>
      <c r="AJ3" s="341">
        <f t="shared" si="4"/>
        <v>0</v>
      </c>
      <c r="AK3" s="341">
        <f t="shared" si="4"/>
        <v>0</v>
      </c>
      <c r="AL3" s="341">
        <f t="shared" si="4"/>
        <v>0</v>
      </c>
      <c r="AM3" s="341">
        <f t="shared" si="4"/>
        <v>0</v>
      </c>
      <c r="AN3" s="341">
        <f t="shared" si="4"/>
        <v>0</v>
      </c>
      <c r="AO3" s="341">
        <f t="shared" si="4"/>
        <v>0</v>
      </c>
      <c r="AP3" s="341">
        <f>SUM(AE3:AO3)</f>
        <v>1</v>
      </c>
      <c r="AR3">
        <f>IF('Overzicht en kosten'!G39=1,'Spec. systeem'!AC3,IF(G39=2,'Spec. systeem'!AC4,IF(G39=3,'Spec. systeem'!AC5,IF(G39=4,'Spec. systeem'!AC6,IF(G39=5,'Spec. systeem'!AC7,IF(G39=6,'Spec. systeem'!AC8,IF(G39=7,'Spec. systeem'!AC9,IF('Overzicht en kosten'!G39=8,'Spec. systeem'!AC10,11))))))))</f>
        <v>11</v>
      </c>
    </row>
    <row r="4" spans="1:44" x14ac:dyDescent="0.15">
      <c r="A4" s="262" t="s">
        <v>64</v>
      </c>
      <c r="B4" s="261"/>
      <c r="C4" s="261"/>
      <c r="D4" s="261"/>
      <c r="E4" s="316">
        <v>-695</v>
      </c>
      <c r="F4" s="261"/>
      <c r="G4" s="261"/>
      <c r="H4" s="261"/>
      <c r="I4" s="1"/>
      <c r="J4" s="252">
        <v>2</v>
      </c>
      <c r="K4" s="253">
        <f>SUM(L4:W4)</f>
        <v>-315</v>
      </c>
      <c r="L4" s="253">
        <f>IF($G$22="ja",$E$22,0)</f>
        <v>0</v>
      </c>
      <c r="M4" s="253">
        <f t="shared" si="1"/>
        <v>0</v>
      </c>
      <c r="N4" s="253">
        <f>IF($G$24="ja",$E$24,0)</f>
        <v>-300</v>
      </c>
      <c r="O4" s="251"/>
      <c r="P4" s="251"/>
      <c r="Q4" s="251"/>
      <c r="R4" s="251"/>
      <c r="S4" s="251"/>
      <c r="T4" s="251"/>
      <c r="U4" s="251"/>
      <c r="V4" s="253">
        <f t="shared" si="2"/>
        <v>0</v>
      </c>
      <c r="W4" s="253">
        <f t="shared" si="3"/>
        <v>-15</v>
      </c>
      <c r="X4" s="338">
        <f t="shared" ref="X4:X52" si="5">AP4</f>
        <v>1</v>
      </c>
      <c r="Y4">
        <f t="shared" ref="Y4:Y52" si="6">1*0.05</f>
        <v>0.05</v>
      </c>
      <c r="Z4" s="328">
        <f t="shared" ref="Z4:Z52" si="7">X4+Y4</f>
        <v>1.05</v>
      </c>
      <c r="AA4" s="328"/>
      <c r="AB4" s="343">
        <v>2</v>
      </c>
      <c r="AC4">
        <f>SUM(Z3:Z4)</f>
        <v>2.1</v>
      </c>
      <c r="AE4" s="341">
        <f t="shared" ref="AE4:AE52" si="8">IF(L4&gt;$AE$1,0,1)</f>
        <v>0</v>
      </c>
      <c r="AF4" s="341">
        <f t="shared" ref="AF4:AF52" si="9">IF(M4&gt;$AE$1,0,1)</f>
        <v>0</v>
      </c>
      <c r="AG4" s="341">
        <f t="shared" ref="AG4:AG52" si="10">IF(N4&gt;$AE$1,0,1)</f>
        <v>1</v>
      </c>
      <c r="AH4" s="341">
        <f t="shared" ref="AH4:AH52" si="11">IF(O4&gt;$AE$1,0,1)</f>
        <v>0</v>
      </c>
      <c r="AI4" s="341">
        <f t="shared" ref="AI4:AI52" si="12">IF(P4&gt;$AE$1,0,1)</f>
        <v>0</v>
      </c>
      <c r="AJ4" s="341">
        <f t="shared" ref="AJ4:AJ52" si="13">IF(Q4&gt;$AE$1,0,1)</f>
        <v>0</v>
      </c>
      <c r="AK4" s="341">
        <f t="shared" ref="AK4:AK52" si="14">IF(R4&gt;$AE$1,0,1)</f>
        <v>0</v>
      </c>
      <c r="AL4" s="341">
        <f t="shared" ref="AL4:AL52" si="15">IF(S4&gt;$AE$1,0,1)</f>
        <v>0</v>
      </c>
      <c r="AM4" s="341">
        <f t="shared" ref="AM4:AM52" si="16">IF(T4&gt;$AE$1,0,1)</f>
        <v>0</v>
      </c>
      <c r="AN4" s="341">
        <f t="shared" ref="AN4:AN52" si="17">IF(U4&gt;$AE$1,0,1)</f>
        <v>0</v>
      </c>
      <c r="AO4" s="341">
        <f t="shared" ref="AO4:AO52" si="18">IF(V4&gt;$AE$1,0,1)</f>
        <v>0</v>
      </c>
      <c r="AP4" s="341">
        <f t="shared" ref="AP4:AP52" si="19">SUM(AE4:AO4)</f>
        <v>1</v>
      </c>
    </row>
    <row r="5" spans="1:44" x14ac:dyDescent="0.15">
      <c r="A5" s="262" t="s">
        <v>71</v>
      </c>
      <c r="B5" s="261"/>
      <c r="C5" s="261"/>
      <c r="D5" s="261"/>
      <c r="E5" s="261"/>
      <c r="F5" s="261"/>
      <c r="G5" s="261"/>
      <c r="H5" s="261"/>
      <c r="I5" s="1"/>
      <c r="J5" s="252">
        <v>3</v>
      </c>
      <c r="K5" s="253">
        <f t="shared" ref="K5:K51" si="20">SUM(L5:W5)</f>
        <v>-615</v>
      </c>
      <c r="L5" s="253">
        <f t="shared" ref="L5:L52" si="21">IF($G$22="ja",$E$22,0)</f>
        <v>0</v>
      </c>
      <c r="M5" s="253">
        <f t="shared" si="1"/>
        <v>0</v>
      </c>
      <c r="N5" s="251"/>
      <c r="O5" s="251"/>
      <c r="P5" s="251"/>
      <c r="Q5" s="251"/>
      <c r="R5" s="251"/>
      <c r="S5" s="251"/>
      <c r="T5" s="251"/>
      <c r="U5" s="253">
        <f>IF($G$31="ja",$E$31,0)</f>
        <v>-600</v>
      </c>
      <c r="V5" s="253">
        <f t="shared" si="2"/>
        <v>0</v>
      </c>
      <c r="W5" s="253">
        <f t="shared" si="3"/>
        <v>-15</v>
      </c>
      <c r="X5" s="338">
        <f t="shared" si="5"/>
        <v>1</v>
      </c>
      <c r="Y5">
        <f t="shared" si="6"/>
        <v>0.05</v>
      </c>
      <c r="Z5" s="328">
        <f t="shared" si="7"/>
        <v>1.05</v>
      </c>
      <c r="AA5" s="328"/>
      <c r="AB5" s="343">
        <v>3</v>
      </c>
      <c r="AC5">
        <f>SUM(Z3:Z5)</f>
        <v>3.1500000000000004</v>
      </c>
      <c r="AE5" s="341">
        <f t="shared" si="8"/>
        <v>0</v>
      </c>
      <c r="AF5" s="341">
        <f t="shared" si="9"/>
        <v>0</v>
      </c>
      <c r="AG5" s="341">
        <f t="shared" si="10"/>
        <v>0</v>
      </c>
      <c r="AH5" s="341">
        <f t="shared" si="11"/>
        <v>0</v>
      </c>
      <c r="AI5" s="341">
        <f t="shared" si="12"/>
        <v>0</v>
      </c>
      <c r="AJ5" s="341">
        <f t="shared" si="13"/>
        <v>0</v>
      </c>
      <c r="AK5" s="341">
        <f t="shared" si="14"/>
        <v>0</v>
      </c>
      <c r="AL5" s="341">
        <f t="shared" si="15"/>
        <v>0</v>
      </c>
      <c r="AM5" s="341">
        <f t="shared" si="16"/>
        <v>0</v>
      </c>
      <c r="AN5" s="341">
        <f t="shared" si="17"/>
        <v>1</v>
      </c>
      <c r="AO5" s="341">
        <f t="shared" si="18"/>
        <v>0</v>
      </c>
      <c r="AP5" s="341">
        <f t="shared" si="19"/>
        <v>1</v>
      </c>
    </row>
    <row r="6" spans="1:44" x14ac:dyDescent="0.15">
      <c r="A6" s="261"/>
      <c r="B6" s="261"/>
      <c r="C6" s="262" t="s">
        <v>72</v>
      </c>
      <c r="D6" s="261"/>
      <c r="E6" s="262" t="s">
        <v>73</v>
      </c>
      <c r="F6" s="261"/>
      <c r="G6" s="261"/>
      <c r="H6" s="261"/>
      <c r="I6" s="1"/>
      <c r="J6" s="252">
        <v>4</v>
      </c>
      <c r="K6" s="253">
        <f t="shared" si="20"/>
        <v>-315</v>
      </c>
      <c r="L6" s="253">
        <f t="shared" si="21"/>
        <v>0</v>
      </c>
      <c r="M6" s="253">
        <f t="shared" si="1"/>
        <v>0</v>
      </c>
      <c r="N6" s="251"/>
      <c r="O6" s="251"/>
      <c r="P6" s="251"/>
      <c r="Q6" s="251"/>
      <c r="R6" s="253">
        <f>IF($G$28="ja",$E$28,0)</f>
        <v>-300</v>
      </c>
      <c r="S6" s="251"/>
      <c r="T6" s="251"/>
      <c r="U6" s="251"/>
      <c r="V6" s="253">
        <f t="shared" si="2"/>
        <v>0</v>
      </c>
      <c r="W6" s="253">
        <f t="shared" si="3"/>
        <v>-15</v>
      </c>
      <c r="X6" s="338">
        <f t="shared" si="5"/>
        <v>1</v>
      </c>
      <c r="Y6">
        <f t="shared" si="6"/>
        <v>0.05</v>
      </c>
      <c r="Z6" s="328">
        <f t="shared" si="7"/>
        <v>1.05</v>
      </c>
      <c r="AA6" s="328"/>
      <c r="AB6" s="343">
        <v>4</v>
      </c>
      <c r="AC6">
        <f>SUM(Z3:Z6)</f>
        <v>4.2</v>
      </c>
      <c r="AE6" s="341">
        <f t="shared" si="8"/>
        <v>0</v>
      </c>
      <c r="AF6" s="341">
        <f t="shared" si="9"/>
        <v>0</v>
      </c>
      <c r="AG6" s="341">
        <f t="shared" si="10"/>
        <v>0</v>
      </c>
      <c r="AH6" s="341">
        <f t="shared" si="11"/>
        <v>0</v>
      </c>
      <c r="AI6" s="341">
        <f t="shared" si="12"/>
        <v>0</v>
      </c>
      <c r="AJ6" s="341">
        <f t="shared" si="13"/>
        <v>0</v>
      </c>
      <c r="AK6" s="341">
        <f t="shared" si="14"/>
        <v>1</v>
      </c>
      <c r="AL6" s="341">
        <f t="shared" si="15"/>
        <v>0</v>
      </c>
      <c r="AM6" s="341">
        <f t="shared" si="16"/>
        <v>0</v>
      </c>
      <c r="AN6" s="341">
        <f t="shared" si="17"/>
        <v>0</v>
      </c>
      <c r="AO6" s="341">
        <f t="shared" si="18"/>
        <v>0</v>
      </c>
      <c r="AP6" s="341">
        <f t="shared" si="19"/>
        <v>1</v>
      </c>
    </row>
    <row r="7" spans="1:44" ht="12" customHeight="1" x14ac:dyDescent="0.15">
      <c r="A7" s="261" t="s">
        <v>65</v>
      </c>
      <c r="B7" s="261"/>
      <c r="C7" s="261" t="s">
        <v>68</v>
      </c>
      <c r="D7" s="261"/>
      <c r="E7" s="263">
        <f>E4</f>
        <v>-695</v>
      </c>
      <c r="F7" s="261"/>
      <c r="G7" s="261"/>
      <c r="H7" s="261"/>
      <c r="I7" s="1"/>
      <c r="J7" s="252">
        <v>5</v>
      </c>
      <c r="K7" s="253">
        <f t="shared" si="20"/>
        <v>-315</v>
      </c>
      <c r="L7" s="253">
        <f t="shared" si="21"/>
        <v>0</v>
      </c>
      <c r="M7" s="253">
        <f t="shared" si="1"/>
        <v>0</v>
      </c>
      <c r="N7" s="251"/>
      <c r="O7" s="251"/>
      <c r="P7" s="251"/>
      <c r="Q7" s="251"/>
      <c r="R7" s="251"/>
      <c r="S7" s="251"/>
      <c r="T7" s="253">
        <f>IF($G$30="ja",$E$30,0)</f>
        <v>-300</v>
      </c>
      <c r="U7" s="251"/>
      <c r="V7" s="253">
        <f t="shared" si="2"/>
        <v>0</v>
      </c>
      <c r="W7" s="253">
        <f t="shared" si="3"/>
        <v>-15</v>
      </c>
      <c r="X7" s="338">
        <f t="shared" si="5"/>
        <v>1</v>
      </c>
      <c r="Y7">
        <f t="shared" si="6"/>
        <v>0.05</v>
      </c>
      <c r="Z7" s="328">
        <f t="shared" si="7"/>
        <v>1.05</v>
      </c>
      <c r="AA7" s="328"/>
      <c r="AB7" s="343">
        <v>5</v>
      </c>
      <c r="AC7">
        <f>SUM(Z3:Z7)</f>
        <v>5.25</v>
      </c>
      <c r="AE7" s="341">
        <f t="shared" si="8"/>
        <v>0</v>
      </c>
      <c r="AF7" s="341">
        <f t="shared" si="9"/>
        <v>0</v>
      </c>
      <c r="AG7" s="341">
        <f t="shared" si="10"/>
        <v>0</v>
      </c>
      <c r="AH7" s="341">
        <f t="shared" si="11"/>
        <v>0</v>
      </c>
      <c r="AI7" s="341">
        <f t="shared" si="12"/>
        <v>0</v>
      </c>
      <c r="AJ7" s="341">
        <f t="shared" si="13"/>
        <v>0</v>
      </c>
      <c r="AK7" s="341">
        <f t="shared" si="14"/>
        <v>0</v>
      </c>
      <c r="AL7" s="341">
        <f t="shared" si="15"/>
        <v>0</v>
      </c>
      <c r="AM7" s="341">
        <f t="shared" si="16"/>
        <v>1</v>
      </c>
      <c r="AN7" s="341">
        <f t="shared" si="17"/>
        <v>0</v>
      </c>
      <c r="AO7" s="341">
        <f t="shared" si="18"/>
        <v>0</v>
      </c>
      <c r="AP7" s="341">
        <f t="shared" si="19"/>
        <v>1</v>
      </c>
    </row>
    <row r="8" spans="1:44" x14ac:dyDescent="0.15">
      <c r="A8" s="261" t="s">
        <v>66</v>
      </c>
      <c r="B8" s="261"/>
      <c r="C8" s="261" t="s">
        <v>69</v>
      </c>
      <c r="D8" s="261"/>
      <c r="E8" s="263">
        <f>E4</f>
        <v>-695</v>
      </c>
      <c r="F8" s="261"/>
      <c r="G8" s="261"/>
      <c r="H8" s="261"/>
      <c r="I8" s="1"/>
      <c r="J8" s="252">
        <v>6</v>
      </c>
      <c r="K8" s="253">
        <f t="shared" si="20"/>
        <v>-315</v>
      </c>
      <c r="L8" s="253">
        <f t="shared" si="21"/>
        <v>0</v>
      </c>
      <c r="M8" s="253">
        <f t="shared" si="1"/>
        <v>0</v>
      </c>
      <c r="N8" s="253">
        <f>IF($G$24="ja",$E$24,0)</f>
        <v>-300</v>
      </c>
      <c r="O8" s="251"/>
      <c r="P8" s="251"/>
      <c r="Q8" s="251"/>
      <c r="R8" s="251"/>
      <c r="S8" s="251"/>
      <c r="T8" s="251"/>
      <c r="U8" s="251"/>
      <c r="V8" s="253">
        <f t="shared" si="2"/>
        <v>0</v>
      </c>
      <c r="W8" s="253">
        <f t="shared" si="3"/>
        <v>-15</v>
      </c>
      <c r="X8" s="338">
        <f t="shared" si="5"/>
        <v>1</v>
      </c>
      <c r="Y8">
        <f t="shared" si="6"/>
        <v>0.05</v>
      </c>
      <c r="Z8" s="328">
        <f t="shared" si="7"/>
        <v>1.05</v>
      </c>
      <c r="AA8" s="328"/>
      <c r="AB8" s="343">
        <v>6</v>
      </c>
      <c r="AC8">
        <f>SUM(Z3:Z8)</f>
        <v>6.3</v>
      </c>
      <c r="AE8" s="341">
        <f t="shared" si="8"/>
        <v>0</v>
      </c>
      <c r="AF8" s="341">
        <f t="shared" si="9"/>
        <v>0</v>
      </c>
      <c r="AG8" s="341">
        <f t="shared" si="10"/>
        <v>1</v>
      </c>
      <c r="AH8" s="341">
        <f t="shared" si="11"/>
        <v>0</v>
      </c>
      <c r="AI8" s="341">
        <f t="shared" si="12"/>
        <v>0</v>
      </c>
      <c r="AJ8" s="341">
        <f t="shared" si="13"/>
        <v>0</v>
      </c>
      <c r="AK8" s="341">
        <f t="shared" si="14"/>
        <v>0</v>
      </c>
      <c r="AL8" s="341">
        <f t="shared" si="15"/>
        <v>0</v>
      </c>
      <c r="AM8" s="341">
        <f t="shared" si="16"/>
        <v>0</v>
      </c>
      <c r="AN8" s="341">
        <f t="shared" si="17"/>
        <v>0</v>
      </c>
      <c r="AO8" s="341">
        <f t="shared" si="18"/>
        <v>0</v>
      </c>
      <c r="AP8" s="341">
        <f t="shared" si="19"/>
        <v>1</v>
      </c>
    </row>
    <row r="9" spans="1:44" ht="14" thickBot="1" x14ac:dyDescent="0.2">
      <c r="A9" s="261" t="s">
        <v>67</v>
      </c>
      <c r="B9" s="261"/>
      <c r="C9" s="261" t="s">
        <v>70</v>
      </c>
      <c r="D9" s="261"/>
      <c r="E9" s="264">
        <f>E4</f>
        <v>-695</v>
      </c>
      <c r="F9" s="261"/>
      <c r="G9" s="261"/>
      <c r="H9" s="261"/>
      <c r="I9" s="1"/>
      <c r="J9" s="252">
        <v>7</v>
      </c>
      <c r="K9" s="253">
        <f t="shared" si="20"/>
        <v>-15</v>
      </c>
      <c r="L9" s="253">
        <f t="shared" si="21"/>
        <v>0</v>
      </c>
      <c r="M9" s="253">
        <f t="shared" si="1"/>
        <v>0</v>
      </c>
      <c r="N9" s="251"/>
      <c r="O9" s="251"/>
      <c r="P9" s="251"/>
      <c r="Q9" s="251"/>
      <c r="R9" s="251"/>
      <c r="S9" s="253">
        <f>IF($G$29="ja",$E$29,0)</f>
        <v>0</v>
      </c>
      <c r="T9" s="253"/>
      <c r="U9" s="251"/>
      <c r="V9" s="253">
        <f t="shared" si="2"/>
        <v>0</v>
      </c>
      <c r="W9" s="253">
        <f t="shared" si="3"/>
        <v>-15</v>
      </c>
      <c r="X9" s="338">
        <f t="shared" si="5"/>
        <v>0</v>
      </c>
      <c r="Y9">
        <f t="shared" si="6"/>
        <v>0.05</v>
      </c>
      <c r="Z9" s="328">
        <f t="shared" si="7"/>
        <v>0.05</v>
      </c>
      <c r="AA9" s="328"/>
      <c r="AB9" s="343">
        <v>7</v>
      </c>
      <c r="AC9">
        <f>SUM(Z3:Z9)</f>
        <v>6.35</v>
      </c>
      <c r="AE9" s="341">
        <f t="shared" si="8"/>
        <v>0</v>
      </c>
      <c r="AF9" s="341">
        <f t="shared" si="9"/>
        <v>0</v>
      </c>
      <c r="AG9" s="341">
        <f t="shared" si="10"/>
        <v>0</v>
      </c>
      <c r="AH9" s="341">
        <f t="shared" si="11"/>
        <v>0</v>
      </c>
      <c r="AI9" s="341">
        <f t="shared" si="12"/>
        <v>0</v>
      </c>
      <c r="AJ9" s="341">
        <f t="shared" si="13"/>
        <v>0</v>
      </c>
      <c r="AK9" s="341">
        <f t="shared" si="14"/>
        <v>0</v>
      </c>
      <c r="AL9" s="341">
        <f t="shared" si="15"/>
        <v>0</v>
      </c>
      <c r="AM9" s="341">
        <f t="shared" si="16"/>
        <v>0</v>
      </c>
      <c r="AN9" s="341">
        <f t="shared" si="17"/>
        <v>0</v>
      </c>
      <c r="AO9" s="341">
        <f t="shared" si="18"/>
        <v>0</v>
      </c>
      <c r="AP9" s="341">
        <f t="shared" si="19"/>
        <v>0</v>
      </c>
    </row>
    <row r="10" spans="1:44" ht="14" thickTop="1" x14ac:dyDescent="0.15">
      <c r="A10" s="261"/>
      <c r="B10" s="261"/>
      <c r="C10" s="261"/>
      <c r="D10" s="261"/>
      <c r="E10" s="263">
        <f>SUM(E7:E9)</f>
        <v>-2085</v>
      </c>
      <c r="F10" s="261"/>
      <c r="G10" s="261"/>
      <c r="H10" s="261"/>
      <c r="I10" s="1"/>
      <c r="J10" s="252">
        <v>8</v>
      </c>
      <c r="K10" s="253">
        <f t="shared" si="20"/>
        <v>-15</v>
      </c>
      <c r="L10" s="253">
        <f t="shared" si="21"/>
        <v>0</v>
      </c>
      <c r="M10" s="253">
        <f t="shared" si="1"/>
        <v>0</v>
      </c>
      <c r="N10" s="251"/>
      <c r="O10" s="251"/>
      <c r="P10" s="251"/>
      <c r="Q10" s="251"/>
      <c r="R10" s="251"/>
      <c r="S10" s="251"/>
      <c r="T10" s="251"/>
      <c r="U10" s="251"/>
      <c r="V10" s="253">
        <f t="shared" si="2"/>
        <v>0</v>
      </c>
      <c r="W10" s="253">
        <f t="shared" si="3"/>
        <v>-15</v>
      </c>
      <c r="X10" s="338">
        <f t="shared" si="5"/>
        <v>0</v>
      </c>
      <c r="Y10">
        <f t="shared" si="6"/>
        <v>0.05</v>
      </c>
      <c r="Z10" s="328">
        <f t="shared" si="7"/>
        <v>0.05</v>
      </c>
      <c r="AA10" s="328"/>
      <c r="AB10" s="343">
        <v>8</v>
      </c>
      <c r="AC10">
        <f>SUM(Z3:Z10)</f>
        <v>6.3999999999999995</v>
      </c>
      <c r="AE10" s="341">
        <f t="shared" si="8"/>
        <v>0</v>
      </c>
      <c r="AF10" s="341">
        <f t="shared" si="9"/>
        <v>0</v>
      </c>
      <c r="AG10" s="341">
        <f t="shared" si="10"/>
        <v>0</v>
      </c>
      <c r="AH10" s="341">
        <f t="shared" si="11"/>
        <v>0</v>
      </c>
      <c r="AI10" s="341">
        <f t="shared" si="12"/>
        <v>0</v>
      </c>
      <c r="AJ10" s="341">
        <f t="shared" si="13"/>
        <v>0</v>
      </c>
      <c r="AK10" s="341">
        <f t="shared" si="14"/>
        <v>0</v>
      </c>
      <c r="AL10" s="341">
        <f t="shared" si="15"/>
        <v>0</v>
      </c>
      <c r="AM10" s="341">
        <f t="shared" si="16"/>
        <v>0</v>
      </c>
      <c r="AN10" s="341">
        <f t="shared" si="17"/>
        <v>0</v>
      </c>
      <c r="AO10" s="341">
        <f t="shared" si="18"/>
        <v>0</v>
      </c>
      <c r="AP10" s="341">
        <f t="shared" si="19"/>
        <v>0</v>
      </c>
    </row>
    <row r="11" spans="1:44" x14ac:dyDescent="0.15">
      <c r="A11" s="261"/>
      <c r="B11" s="279" t="s">
        <v>141</v>
      </c>
      <c r="C11" s="265" t="s">
        <v>148</v>
      </c>
      <c r="D11" s="261"/>
      <c r="E11" s="261"/>
      <c r="F11" s="261"/>
      <c r="G11" s="261"/>
      <c r="H11" s="261"/>
      <c r="I11" s="1"/>
      <c r="J11" s="252">
        <v>9</v>
      </c>
      <c r="K11" s="253">
        <f t="shared" si="20"/>
        <v>-315</v>
      </c>
      <c r="L11" s="253">
        <f t="shared" si="21"/>
        <v>0</v>
      </c>
      <c r="M11" s="253">
        <f t="shared" si="1"/>
        <v>0</v>
      </c>
      <c r="N11" s="251"/>
      <c r="O11" s="253">
        <f>IF($G$25="ja",$E$25,0)</f>
        <v>-300</v>
      </c>
      <c r="P11" s="251"/>
      <c r="Q11" s="251"/>
      <c r="R11" s="251"/>
      <c r="S11" s="251"/>
      <c r="T11" s="251"/>
      <c r="U11" s="251"/>
      <c r="V11" s="253">
        <f t="shared" si="2"/>
        <v>0</v>
      </c>
      <c r="W11" s="253">
        <f t="shared" si="3"/>
        <v>-15</v>
      </c>
      <c r="X11" s="338">
        <f t="shared" si="5"/>
        <v>1</v>
      </c>
      <c r="Y11">
        <f t="shared" si="6"/>
        <v>0.05</v>
      </c>
      <c r="Z11" s="328">
        <f t="shared" si="7"/>
        <v>1.05</v>
      </c>
      <c r="AA11" s="328"/>
      <c r="AB11" s="343">
        <v>9</v>
      </c>
      <c r="AC11">
        <f>SUM(Z3:Z11)</f>
        <v>7.4499999999999993</v>
      </c>
      <c r="AE11" s="341">
        <f t="shared" si="8"/>
        <v>0</v>
      </c>
      <c r="AF11" s="341">
        <f t="shared" si="9"/>
        <v>0</v>
      </c>
      <c r="AG11" s="341">
        <f t="shared" si="10"/>
        <v>0</v>
      </c>
      <c r="AH11" s="341">
        <f t="shared" si="11"/>
        <v>1</v>
      </c>
      <c r="AI11" s="341">
        <f t="shared" si="12"/>
        <v>0</v>
      </c>
      <c r="AJ11" s="341">
        <f t="shared" si="13"/>
        <v>0</v>
      </c>
      <c r="AK11" s="341">
        <f t="shared" si="14"/>
        <v>0</v>
      </c>
      <c r="AL11" s="341">
        <f t="shared" si="15"/>
        <v>0</v>
      </c>
      <c r="AM11" s="341">
        <f t="shared" si="16"/>
        <v>0</v>
      </c>
      <c r="AN11" s="341">
        <f t="shared" si="17"/>
        <v>0</v>
      </c>
      <c r="AO11" s="341">
        <f t="shared" si="18"/>
        <v>0</v>
      </c>
      <c r="AP11" s="341">
        <f t="shared" si="19"/>
        <v>1</v>
      </c>
    </row>
    <row r="12" spans="1:44" x14ac:dyDescent="0.15">
      <c r="A12" s="273" t="s">
        <v>143</v>
      </c>
      <c r="B12" s="280"/>
      <c r="C12" s="277">
        <f>E3</f>
        <v>5000</v>
      </c>
      <c r="D12" s="261"/>
      <c r="E12" s="261"/>
      <c r="F12" s="261"/>
      <c r="G12" s="261"/>
      <c r="H12" s="261"/>
      <c r="I12" s="1"/>
      <c r="J12" s="252">
        <v>10</v>
      </c>
      <c r="K12" s="253">
        <f t="shared" si="20"/>
        <v>-315</v>
      </c>
      <c r="L12" s="253">
        <f t="shared" si="21"/>
        <v>0</v>
      </c>
      <c r="M12" s="253">
        <f t="shared" si="1"/>
        <v>0</v>
      </c>
      <c r="N12" s="253">
        <f>IF($G$24="ja",$E$24,0)</f>
        <v>-300</v>
      </c>
      <c r="O12" s="251"/>
      <c r="P12" s="251"/>
      <c r="Q12" s="251"/>
      <c r="R12" s="251"/>
      <c r="S12" s="251"/>
      <c r="T12" s="251"/>
      <c r="U12" s="251"/>
      <c r="V12" s="253">
        <f t="shared" si="2"/>
        <v>0</v>
      </c>
      <c r="W12" s="253">
        <f t="shared" si="3"/>
        <v>-15</v>
      </c>
      <c r="X12" s="338">
        <f t="shared" si="5"/>
        <v>1</v>
      </c>
      <c r="Y12">
        <f t="shared" si="6"/>
        <v>0.05</v>
      </c>
      <c r="Z12" s="328">
        <f t="shared" si="7"/>
        <v>1.05</v>
      </c>
      <c r="AA12" s="328"/>
      <c r="AB12" s="343">
        <v>10</v>
      </c>
      <c r="AC12">
        <f>SUM(Z3:Z12)</f>
        <v>8.5</v>
      </c>
      <c r="AE12" s="341">
        <f t="shared" si="8"/>
        <v>0</v>
      </c>
      <c r="AF12" s="341">
        <f t="shared" si="9"/>
        <v>0</v>
      </c>
      <c r="AG12" s="341">
        <f t="shared" si="10"/>
        <v>1</v>
      </c>
      <c r="AH12" s="341">
        <f t="shared" si="11"/>
        <v>0</v>
      </c>
      <c r="AI12" s="341">
        <f t="shared" si="12"/>
        <v>0</v>
      </c>
      <c r="AJ12" s="341">
        <f t="shared" si="13"/>
        <v>0</v>
      </c>
      <c r="AK12" s="341">
        <f t="shared" si="14"/>
        <v>0</v>
      </c>
      <c r="AL12" s="341">
        <f t="shared" si="15"/>
        <v>0</v>
      </c>
      <c r="AM12" s="341">
        <f t="shared" si="16"/>
        <v>0</v>
      </c>
      <c r="AN12" s="341">
        <f t="shared" si="17"/>
        <v>0</v>
      </c>
      <c r="AO12" s="341">
        <f t="shared" si="18"/>
        <v>0</v>
      </c>
      <c r="AP12" s="341">
        <f t="shared" si="19"/>
        <v>1</v>
      </c>
    </row>
    <row r="13" spans="1:44" x14ac:dyDescent="0.15">
      <c r="A13" s="261" t="s">
        <v>208</v>
      </c>
      <c r="B13" s="318">
        <v>-12000</v>
      </c>
      <c r="C13" s="263">
        <f>B13/C12</f>
        <v>-2.4</v>
      </c>
      <c r="D13" s="261"/>
      <c r="E13" s="263">
        <f>C13/20*2</f>
        <v>-0.24</v>
      </c>
      <c r="F13" s="261" t="s">
        <v>136</v>
      </c>
      <c r="G13" s="261"/>
      <c r="H13" s="261"/>
      <c r="I13" s="1"/>
      <c r="J13" s="252">
        <v>11</v>
      </c>
      <c r="K13" s="253">
        <f t="shared" si="20"/>
        <v>-15</v>
      </c>
      <c r="L13" s="253">
        <f t="shared" si="21"/>
        <v>0</v>
      </c>
      <c r="M13" s="253">
        <f t="shared" si="1"/>
        <v>0</v>
      </c>
      <c r="N13" s="251"/>
      <c r="O13" s="251"/>
      <c r="P13" s="251"/>
      <c r="Q13" s="251"/>
      <c r="R13" s="251"/>
      <c r="S13" s="251"/>
      <c r="T13" s="251"/>
      <c r="U13" s="251"/>
      <c r="V13" s="253">
        <f t="shared" si="2"/>
        <v>0</v>
      </c>
      <c r="W13" s="253">
        <f t="shared" si="3"/>
        <v>-15</v>
      </c>
      <c r="X13" s="338">
        <f t="shared" si="5"/>
        <v>0</v>
      </c>
      <c r="Y13">
        <f t="shared" si="6"/>
        <v>0.05</v>
      </c>
      <c r="Z13" s="328">
        <f t="shared" si="7"/>
        <v>0.05</v>
      </c>
      <c r="AA13" s="328"/>
      <c r="AB13" s="343">
        <v>11</v>
      </c>
      <c r="AC13">
        <f>SUM(Z3:Z13)</f>
        <v>8.5500000000000007</v>
      </c>
      <c r="AE13" s="341">
        <f t="shared" si="8"/>
        <v>0</v>
      </c>
      <c r="AF13" s="341">
        <f t="shared" si="9"/>
        <v>0</v>
      </c>
      <c r="AG13" s="341">
        <f t="shared" si="10"/>
        <v>0</v>
      </c>
      <c r="AH13" s="341">
        <f t="shared" si="11"/>
        <v>0</v>
      </c>
      <c r="AI13" s="341">
        <f t="shared" si="12"/>
        <v>0</v>
      </c>
      <c r="AJ13" s="341">
        <f t="shared" si="13"/>
        <v>0</v>
      </c>
      <c r="AK13" s="341">
        <f t="shared" si="14"/>
        <v>0</v>
      </c>
      <c r="AL13" s="341">
        <f t="shared" si="15"/>
        <v>0</v>
      </c>
      <c r="AM13" s="341">
        <f t="shared" si="16"/>
        <v>0</v>
      </c>
      <c r="AN13" s="341">
        <f t="shared" si="17"/>
        <v>0</v>
      </c>
      <c r="AO13" s="341">
        <f t="shared" si="18"/>
        <v>0</v>
      </c>
      <c r="AP13" s="341">
        <f t="shared" si="19"/>
        <v>0</v>
      </c>
    </row>
    <row r="14" spans="1:44" x14ac:dyDescent="0.15">
      <c r="A14" s="261" t="s">
        <v>139</v>
      </c>
      <c r="B14" s="318">
        <v>-220</v>
      </c>
      <c r="C14" s="263">
        <f>B14/C12</f>
        <v>-4.3999999999999997E-2</v>
      </c>
      <c r="D14" s="261"/>
      <c r="E14" s="263">
        <f>C14</f>
        <v>-4.3999999999999997E-2</v>
      </c>
      <c r="F14" s="261" t="s">
        <v>136</v>
      </c>
      <c r="G14" s="261"/>
      <c r="H14" s="261"/>
      <c r="I14" s="1"/>
      <c r="J14" s="252">
        <v>12</v>
      </c>
      <c r="K14" s="253">
        <f t="shared" si="20"/>
        <v>-315</v>
      </c>
      <c r="L14" s="253">
        <f t="shared" si="21"/>
        <v>0</v>
      </c>
      <c r="M14" s="253">
        <f t="shared" si="1"/>
        <v>0</v>
      </c>
      <c r="N14" s="251"/>
      <c r="O14" s="251"/>
      <c r="P14" s="251"/>
      <c r="Q14" s="251"/>
      <c r="R14" s="253">
        <f>IF($G$28="ja",$E$28,0)</f>
        <v>-300</v>
      </c>
      <c r="S14" s="251"/>
      <c r="T14" s="251"/>
      <c r="U14" s="251"/>
      <c r="V14" s="253">
        <f t="shared" si="2"/>
        <v>0</v>
      </c>
      <c r="W14" s="253">
        <f t="shared" si="3"/>
        <v>-15</v>
      </c>
      <c r="X14" s="338">
        <f t="shared" si="5"/>
        <v>1</v>
      </c>
      <c r="Y14">
        <f t="shared" si="6"/>
        <v>0.05</v>
      </c>
      <c r="Z14" s="328">
        <f t="shared" si="7"/>
        <v>1.05</v>
      </c>
      <c r="AA14" s="328"/>
      <c r="AB14" s="343">
        <v>12</v>
      </c>
      <c r="AC14">
        <f>SUM(Z3:Z14)</f>
        <v>9.6000000000000014</v>
      </c>
      <c r="AE14" s="341">
        <f t="shared" si="8"/>
        <v>0</v>
      </c>
      <c r="AF14" s="341">
        <f t="shared" si="9"/>
        <v>0</v>
      </c>
      <c r="AG14" s="341">
        <f t="shared" si="10"/>
        <v>0</v>
      </c>
      <c r="AH14" s="341">
        <f t="shared" si="11"/>
        <v>0</v>
      </c>
      <c r="AI14" s="341">
        <f t="shared" si="12"/>
        <v>0</v>
      </c>
      <c r="AJ14" s="341">
        <f t="shared" si="13"/>
        <v>0</v>
      </c>
      <c r="AK14" s="341">
        <f t="shared" si="14"/>
        <v>1</v>
      </c>
      <c r="AL14" s="341">
        <f t="shared" si="15"/>
        <v>0</v>
      </c>
      <c r="AM14" s="341">
        <f t="shared" si="16"/>
        <v>0</v>
      </c>
      <c r="AN14" s="341">
        <f t="shared" si="17"/>
        <v>0</v>
      </c>
      <c r="AO14" s="341">
        <f t="shared" si="18"/>
        <v>0</v>
      </c>
      <c r="AP14" s="341">
        <f t="shared" si="19"/>
        <v>1</v>
      </c>
    </row>
    <row r="15" spans="1:44" x14ac:dyDescent="0.15">
      <c r="A15" s="273" t="s">
        <v>142</v>
      </c>
      <c r="B15" s="280"/>
      <c r="C15" s="273">
        <f>E3</f>
        <v>5000</v>
      </c>
      <c r="D15" s="261"/>
      <c r="E15" s="278">
        <f>SUM(E13:E14)</f>
        <v>-0.28399999999999997</v>
      </c>
      <c r="F15" s="261" t="s">
        <v>138</v>
      </c>
      <c r="G15" s="261"/>
      <c r="H15" s="261"/>
      <c r="I15" s="1"/>
      <c r="J15" s="252">
        <v>13</v>
      </c>
      <c r="K15" s="253">
        <f t="shared" si="20"/>
        <v>-15</v>
      </c>
      <c r="L15" s="253">
        <f t="shared" si="21"/>
        <v>0</v>
      </c>
      <c r="M15" s="253">
        <f t="shared" si="1"/>
        <v>0</v>
      </c>
      <c r="N15" s="251"/>
      <c r="O15" s="251"/>
      <c r="P15" s="251"/>
      <c r="Q15" s="251"/>
      <c r="R15" s="251"/>
      <c r="S15" s="251"/>
      <c r="T15" s="251"/>
      <c r="U15" s="251"/>
      <c r="V15" s="253">
        <f t="shared" si="2"/>
        <v>0</v>
      </c>
      <c r="W15" s="253">
        <f t="shared" si="3"/>
        <v>-15</v>
      </c>
      <c r="X15" s="338">
        <f t="shared" si="5"/>
        <v>0</v>
      </c>
      <c r="Y15">
        <f t="shared" si="6"/>
        <v>0.05</v>
      </c>
      <c r="Z15" s="328">
        <f t="shared" si="7"/>
        <v>0.05</v>
      </c>
      <c r="AA15" s="328"/>
      <c r="AB15" s="343">
        <v>13</v>
      </c>
      <c r="AC15">
        <f>SUM(Z3:Z15)</f>
        <v>9.6500000000000021</v>
      </c>
      <c r="AE15" s="341">
        <f t="shared" si="8"/>
        <v>0</v>
      </c>
      <c r="AF15" s="341">
        <f t="shared" si="9"/>
        <v>0</v>
      </c>
      <c r="AG15" s="341">
        <f t="shared" si="10"/>
        <v>0</v>
      </c>
      <c r="AH15" s="341">
        <f t="shared" si="11"/>
        <v>0</v>
      </c>
      <c r="AI15" s="341">
        <f t="shared" si="12"/>
        <v>0</v>
      </c>
      <c r="AJ15" s="341">
        <f t="shared" si="13"/>
        <v>0</v>
      </c>
      <c r="AK15" s="341">
        <f t="shared" si="14"/>
        <v>0</v>
      </c>
      <c r="AL15" s="341">
        <f t="shared" si="15"/>
        <v>0</v>
      </c>
      <c r="AM15" s="341">
        <f t="shared" si="16"/>
        <v>0</v>
      </c>
      <c r="AN15" s="341">
        <f t="shared" si="17"/>
        <v>0</v>
      </c>
      <c r="AO15" s="341">
        <f t="shared" si="18"/>
        <v>0</v>
      </c>
      <c r="AP15" s="341">
        <f t="shared" si="19"/>
        <v>0</v>
      </c>
    </row>
    <row r="16" spans="1:44" x14ac:dyDescent="0.15">
      <c r="A16" s="261" t="s">
        <v>209</v>
      </c>
      <c r="B16" s="318">
        <v>1250</v>
      </c>
      <c r="C16" s="263">
        <f>-1250*2/C15</f>
        <v>-0.5</v>
      </c>
      <c r="D16" s="261" t="s">
        <v>210</v>
      </c>
      <c r="E16" s="263">
        <f>C16</f>
        <v>-0.5</v>
      </c>
      <c r="F16" s="261" t="s">
        <v>136</v>
      </c>
      <c r="G16" s="261"/>
      <c r="H16" s="261"/>
      <c r="I16" s="1"/>
      <c r="J16" s="252">
        <v>14</v>
      </c>
      <c r="K16" s="253">
        <f t="shared" si="20"/>
        <v>-315</v>
      </c>
      <c r="L16" s="253">
        <f t="shared" si="21"/>
        <v>0</v>
      </c>
      <c r="M16" s="253">
        <f t="shared" si="1"/>
        <v>0</v>
      </c>
      <c r="N16" s="253">
        <f>IF($G$24="ja",$E$24,0)</f>
        <v>-300</v>
      </c>
      <c r="O16" s="251"/>
      <c r="P16" s="251"/>
      <c r="Q16" s="251"/>
      <c r="R16" s="251"/>
      <c r="S16" s="251"/>
      <c r="T16" s="251"/>
      <c r="U16" s="251"/>
      <c r="V16" s="253">
        <f t="shared" si="2"/>
        <v>0</v>
      </c>
      <c r="W16" s="253">
        <f t="shared" si="3"/>
        <v>-15</v>
      </c>
      <c r="X16" s="338">
        <f t="shared" si="5"/>
        <v>1</v>
      </c>
      <c r="Y16">
        <f t="shared" si="6"/>
        <v>0.05</v>
      </c>
      <c r="Z16" s="328">
        <f t="shared" si="7"/>
        <v>1.05</v>
      </c>
      <c r="AA16" s="328"/>
      <c r="AB16" s="343">
        <v>14</v>
      </c>
      <c r="AC16">
        <f>SUM(Z3:Z16)</f>
        <v>10.700000000000003</v>
      </c>
      <c r="AE16" s="341">
        <f t="shared" si="8"/>
        <v>0</v>
      </c>
      <c r="AF16" s="341">
        <f t="shared" si="9"/>
        <v>0</v>
      </c>
      <c r="AG16" s="341">
        <f t="shared" si="10"/>
        <v>1</v>
      </c>
      <c r="AH16" s="341">
        <f t="shared" si="11"/>
        <v>0</v>
      </c>
      <c r="AI16" s="341">
        <f t="shared" si="12"/>
        <v>0</v>
      </c>
      <c r="AJ16" s="341">
        <f t="shared" si="13"/>
        <v>0</v>
      </c>
      <c r="AK16" s="341">
        <f t="shared" si="14"/>
        <v>0</v>
      </c>
      <c r="AL16" s="341">
        <f t="shared" si="15"/>
        <v>0</v>
      </c>
      <c r="AM16" s="341">
        <f t="shared" si="16"/>
        <v>0</v>
      </c>
      <c r="AN16" s="341">
        <f t="shared" si="17"/>
        <v>0</v>
      </c>
      <c r="AO16" s="341">
        <f t="shared" si="18"/>
        <v>0</v>
      </c>
      <c r="AP16" s="341">
        <f t="shared" si="19"/>
        <v>1</v>
      </c>
    </row>
    <row r="17" spans="1:42" x14ac:dyDescent="0.15">
      <c r="A17" s="261" t="s">
        <v>207</v>
      </c>
      <c r="B17" s="316">
        <v>80</v>
      </c>
      <c r="C17" s="263">
        <f>B17/C15</f>
        <v>1.6E-2</v>
      </c>
      <c r="D17" s="261"/>
      <c r="E17" s="263">
        <f>C17</f>
        <v>1.6E-2</v>
      </c>
      <c r="F17" s="261" t="s">
        <v>136</v>
      </c>
      <c r="G17" s="261"/>
      <c r="H17" s="261"/>
      <c r="I17" s="1"/>
      <c r="J17" s="252">
        <v>15</v>
      </c>
      <c r="K17" s="253">
        <f t="shared" si="20"/>
        <v>-15</v>
      </c>
      <c r="L17" s="253">
        <f t="shared" si="21"/>
        <v>0</v>
      </c>
      <c r="M17" s="253">
        <f t="shared" si="1"/>
        <v>0</v>
      </c>
      <c r="N17" s="251"/>
      <c r="O17" s="251"/>
      <c r="P17" s="251"/>
      <c r="Q17" s="251"/>
      <c r="R17" s="251"/>
      <c r="S17" s="251"/>
      <c r="T17" s="251"/>
      <c r="U17" s="251"/>
      <c r="V17" s="253">
        <f t="shared" si="2"/>
        <v>0</v>
      </c>
      <c r="W17" s="253">
        <f t="shared" si="3"/>
        <v>-15</v>
      </c>
      <c r="X17" s="338">
        <f t="shared" si="5"/>
        <v>0</v>
      </c>
      <c r="Y17">
        <f t="shared" si="6"/>
        <v>0.05</v>
      </c>
      <c r="Z17" s="328">
        <f t="shared" si="7"/>
        <v>0.05</v>
      </c>
      <c r="AA17" s="328"/>
      <c r="AB17" s="343">
        <v>15</v>
      </c>
      <c r="AC17">
        <f>SUM(Z3:Z17)</f>
        <v>10.750000000000004</v>
      </c>
      <c r="AE17" s="341">
        <f t="shared" si="8"/>
        <v>0</v>
      </c>
      <c r="AF17" s="341">
        <f t="shared" si="9"/>
        <v>0</v>
      </c>
      <c r="AG17" s="341">
        <f t="shared" si="10"/>
        <v>0</v>
      </c>
      <c r="AH17" s="341">
        <f t="shared" si="11"/>
        <v>0</v>
      </c>
      <c r="AI17" s="341">
        <f t="shared" si="12"/>
        <v>0</v>
      </c>
      <c r="AJ17" s="341">
        <f t="shared" si="13"/>
        <v>0</v>
      </c>
      <c r="AK17" s="341">
        <f t="shared" si="14"/>
        <v>0</v>
      </c>
      <c r="AL17" s="341">
        <f t="shared" si="15"/>
        <v>0</v>
      </c>
      <c r="AM17" s="341">
        <f t="shared" si="16"/>
        <v>0</v>
      </c>
      <c r="AN17" s="341">
        <f t="shared" si="17"/>
        <v>0</v>
      </c>
      <c r="AO17" s="341">
        <f t="shared" si="18"/>
        <v>0</v>
      </c>
      <c r="AP17" s="341">
        <f t="shared" si="19"/>
        <v>0</v>
      </c>
    </row>
    <row r="18" spans="1:42" x14ac:dyDescent="0.15">
      <c r="A18" s="266" t="s">
        <v>144</v>
      </c>
      <c r="B18" s="261"/>
      <c r="C18" s="267">
        <f>C13+(C16)</f>
        <v>-2.9</v>
      </c>
      <c r="D18" s="261"/>
      <c r="E18" s="278">
        <f>SUM(E16:E17)</f>
        <v>-0.48399999999999999</v>
      </c>
      <c r="F18" s="261" t="s">
        <v>140</v>
      </c>
      <c r="G18" s="261"/>
      <c r="H18" s="261"/>
      <c r="I18" s="1"/>
      <c r="J18" s="252">
        <v>16</v>
      </c>
      <c r="K18" s="253">
        <f t="shared" si="20"/>
        <v>-15</v>
      </c>
      <c r="L18" s="253">
        <f t="shared" si="21"/>
        <v>0</v>
      </c>
      <c r="M18" s="253">
        <f t="shared" si="1"/>
        <v>0</v>
      </c>
      <c r="N18" s="251"/>
      <c r="O18" s="251"/>
      <c r="P18" s="251"/>
      <c r="Q18" s="251"/>
      <c r="R18" s="251"/>
      <c r="S18" s="251"/>
      <c r="T18" s="251"/>
      <c r="U18" s="251"/>
      <c r="V18" s="253">
        <f t="shared" si="2"/>
        <v>0</v>
      </c>
      <c r="W18" s="253">
        <f t="shared" si="3"/>
        <v>-15</v>
      </c>
      <c r="X18" s="338">
        <f t="shared" si="5"/>
        <v>0</v>
      </c>
      <c r="Y18">
        <f t="shared" si="6"/>
        <v>0.05</v>
      </c>
      <c r="Z18" s="328">
        <f t="shared" si="7"/>
        <v>0.05</v>
      </c>
      <c r="AA18" s="328"/>
      <c r="AB18" s="343">
        <v>16</v>
      </c>
      <c r="AC18">
        <f>SUM(Z3:Z18)</f>
        <v>10.800000000000004</v>
      </c>
      <c r="AE18" s="341">
        <f t="shared" si="8"/>
        <v>0</v>
      </c>
      <c r="AF18" s="341">
        <f t="shared" si="9"/>
        <v>0</v>
      </c>
      <c r="AG18" s="341">
        <f t="shared" si="10"/>
        <v>0</v>
      </c>
      <c r="AH18" s="341">
        <f t="shared" si="11"/>
        <v>0</v>
      </c>
      <c r="AI18" s="341">
        <f t="shared" si="12"/>
        <v>0</v>
      </c>
      <c r="AJ18" s="341">
        <f t="shared" si="13"/>
        <v>0</v>
      </c>
      <c r="AK18" s="341">
        <f t="shared" si="14"/>
        <v>0</v>
      </c>
      <c r="AL18" s="341">
        <f t="shared" si="15"/>
        <v>0</v>
      </c>
      <c r="AM18" s="341">
        <f t="shared" si="16"/>
        <v>0</v>
      </c>
      <c r="AN18" s="341">
        <f t="shared" si="17"/>
        <v>0</v>
      </c>
      <c r="AO18" s="341">
        <f t="shared" si="18"/>
        <v>0</v>
      </c>
      <c r="AP18" s="341">
        <f t="shared" si="19"/>
        <v>0</v>
      </c>
    </row>
    <row r="19" spans="1:42" x14ac:dyDescent="0.15">
      <c r="A19" s="1"/>
      <c r="B19" s="1"/>
      <c r="D19" s="1"/>
      <c r="E19" s="246">
        <f>SUM(E13:E18)</f>
        <v>-1.536</v>
      </c>
      <c r="F19" s="1" t="s">
        <v>186</v>
      </c>
      <c r="G19" s="1"/>
      <c r="H19" s="1"/>
      <c r="I19" s="1"/>
      <c r="J19" s="252">
        <v>17</v>
      </c>
      <c r="K19" s="253">
        <f t="shared" si="20"/>
        <v>-15</v>
      </c>
      <c r="L19" s="253">
        <f t="shared" si="21"/>
        <v>0</v>
      </c>
      <c r="M19" s="253">
        <f t="shared" si="1"/>
        <v>0</v>
      </c>
      <c r="N19" s="251"/>
      <c r="O19" s="251"/>
      <c r="P19" s="251"/>
      <c r="Q19" s="251"/>
      <c r="R19" s="251"/>
      <c r="S19" s="251"/>
      <c r="T19" s="251"/>
      <c r="U19" s="251"/>
      <c r="V19" s="253">
        <f t="shared" si="2"/>
        <v>0</v>
      </c>
      <c r="W19" s="253">
        <f t="shared" si="3"/>
        <v>-15</v>
      </c>
      <c r="X19" s="338">
        <f t="shared" si="5"/>
        <v>0</v>
      </c>
      <c r="Y19">
        <f t="shared" si="6"/>
        <v>0.05</v>
      </c>
      <c r="Z19" s="328">
        <f t="shared" si="7"/>
        <v>0.05</v>
      </c>
      <c r="AA19" s="328"/>
      <c r="AB19" s="343">
        <v>17</v>
      </c>
      <c r="AC19">
        <f>SUM(Z3:Z19)</f>
        <v>10.850000000000005</v>
      </c>
      <c r="AE19" s="341">
        <f t="shared" si="8"/>
        <v>0</v>
      </c>
      <c r="AF19" s="341">
        <f t="shared" si="9"/>
        <v>0</v>
      </c>
      <c r="AG19" s="341">
        <f t="shared" si="10"/>
        <v>0</v>
      </c>
      <c r="AH19" s="341">
        <f t="shared" si="11"/>
        <v>0</v>
      </c>
      <c r="AI19" s="341">
        <f t="shared" si="12"/>
        <v>0</v>
      </c>
      <c r="AJ19" s="341">
        <f t="shared" si="13"/>
        <v>0</v>
      </c>
      <c r="AK19" s="341">
        <f t="shared" si="14"/>
        <v>0</v>
      </c>
      <c r="AL19" s="341">
        <f t="shared" si="15"/>
        <v>0</v>
      </c>
      <c r="AM19" s="341">
        <f t="shared" si="16"/>
        <v>0</v>
      </c>
      <c r="AN19" s="341">
        <f t="shared" si="17"/>
        <v>0</v>
      </c>
      <c r="AO19" s="341">
        <f t="shared" si="18"/>
        <v>0</v>
      </c>
      <c r="AP19" s="341">
        <f t="shared" si="19"/>
        <v>0</v>
      </c>
    </row>
    <row r="20" spans="1:42" x14ac:dyDescent="0.15">
      <c r="A20" s="347" t="s">
        <v>147</v>
      </c>
      <c r="B20" s="249" t="s">
        <v>202</v>
      </c>
      <c r="C20" s="249" t="s">
        <v>99</v>
      </c>
      <c r="D20" s="248"/>
      <c r="E20" s="249" t="s">
        <v>74</v>
      </c>
      <c r="F20" s="249" t="s">
        <v>76</v>
      </c>
      <c r="G20" s="249" t="s">
        <v>100</v>
      </c>
      <c r="H20" s="249" t="s">
        <v>101</v>
      </c>
      <c r="I20" s="1"/>
      <c r="J20" s="252">
        <v>18</v>
      </c>
      <c r="K20" s="253">
        <f t="shared" si="20"/>
        <v>-315</v>
      </c>
      <c r="L20" s="253">
        <f t="shared" si="21"/>
        <v>0</v>
      </c>
      <c r="M20" s="253">
        <f t="shared" si="1"/>
        <v>0</v>
      </c>
      <c r="N20" s="253">
        <f>IF($G$24="ja",$E$24,0)</f>
        <v>-300</v>
      </c>
      <c r="O20" s="251"/>
      <c r="P20" s="251"/>
      <c r="Q20" s="251"/>
      <c r="R20" s="251"/>
      <c r="S20" s="251"/>
      <c r="T20" s="251"/>
      <c r="U20" s="251"/>
      <c r="V20" s="253">
        <f t="shared" si="2"/>
        <v>0</v>
      </c>
      <c r="W20" s="253">
        <f t="shared" si="3"/>
        <v>-15</v>
      </c>
      <c r="X20" s="338">
        <f t="shared" si="5"/>
        <v>1</v>
      </c>
      <c r="Y20">
        <f t="shared" si="6"/>
        <v>0.05</v>
      </c>
      <c r="Z20" s="328">
        <f t="shared" si="7"/>
        <v>1.05</v>
      </c>
      <c r="AA20" s="328"/>
      <c r="AB20" s="343">
        <v>18</v>
      </c>
      <c r="AC20">
        <f>SUM(Z3:Z20)</f>
        <v>11.900000000000006</v>
      </c>
      <c r="AE20" s="341">
        <f t="shared" si="8"/>
        <v>0</v>
      </c>
      <c r="AF20" s="341">
        <f t="shared" si="9"/>
        <v>0</v>
      </c>
      <c r="AG20" s="341">
        <f t="shared" si="10"/>
        <v>1</v>
      </c>
      <c r="AH20" s="341">
        <f t="shared" si="11"/>
        <v>0</v>
      </c>
      <c r="AI20" s="341">
        <f t="shared" si="12"/>
        <v>0</v>
      </c>
      <c r="AJ20" s="341">
        <f t="shared" si="13"/>
        <v>0</v>
      </c>
      <c r="AK20" s="341">
        <f t="shared" si="14"/>
        <v>0</v>
      </c>
      <c r="AL20" s="341">
        <f t="shared" si="15"/>
        <v>0</v>
      </c>
      <c r="AM20" s="341">
        <f t="shared" si="16"/>
        <v>0</v>
      </c>
      <c r="AN20" s="341">
        <f t="shared" si="17"/>
        <v>0</v>
      </c>
      <c r="AO20" s="341">
        <f t="shared" si="18"/>
        <v>0</v>
      </c>
      <c r="AP20" s="341">
        <f t="shared" si="19"/>
        <v>1</v>
      </c>
    </row>
    <row r="21" spans="1:42" x14ac:dyDescent="0.15">
      <c r="A21" s="347"/>
      <c r="B21" s="249"/>
      <c r="C21" s="248"/>
      <c r="D21" s="248"/>
      <c r="E21" s="249"/>
      <c r="F21" s="248"/>
      <c r="G21" s="248"/>
      <c r="H21" s="248"/>
      <c r="I21" s="1"/>
      <c r="J21" s="252">
        <v>19</v>
      </c>
      <c r="K21" s="253">
        <f t="shared" si="20"/>
        <v>-315</v>
      </c>
      <c r="L21" s="253">
        <f t="shared" si="21"/>
        <v>0</v>
      </c>
      <c r="M21" s="253">
        <f t="shared" si="1"/>
        <v>0</v>
      </c>
      <c r="N21" s="251"/>
      <c r="O21" s="251"/>
      <c r="P21" s="253">
        <f>IF($G$26="ja",$E$26,0)</f>
        <v>-300</v>
      </c>
      <c r="Q21" s="251"/>
      <c r="R21" s="251"/>
      <c r="S21" s="253">
        <f>IF($G$29="ja",$E$29,0)</f>
        <v>0</v>
      </c>
      <c r="T21" s="251"/>
      <c r="U21" s="251"/>
      <c r="V21" s="253">
        <f t="shared" si="2"/>
        <v>0</v>
      </c>
      <c r="W21" s="253">
        <f t="shared" si="3"/>
        <v>-15</v>
      </c>
      <c r="X21" s="338">
        <f t="shared" si="5"/>
        <v>1</v>
      </c>
      <c r="Y21">
        <f t="shared" si="6"/>
        <v>0.05</v>
      </c>
      <c r="Z21" s="328">
        <f t="shared" si="7"/>
        <v>1.05</v>
      </c>
      <c r="AA21" s="328"/>
      <c r="AB21" s="343">
        <v>19</v>
      </c>
      <c r="AC21">
        <f>SUM(Z3:Z21)</f>
        <v>12.950000000000006</v>
      </c>
      <c r="AE21" s="341">
        <f t="shared" si="8"/>
        <v>0</v>
      </c>
      <c r="AF21" s="341">
        <f t="shared" si="9"/>
        <v>0</v>
      </c>
      <c r="AG21" s="341">
        <f t="shared" si="10"/>
        <v>0</v>
      </c>
      <c r="AH21" s="341">
        <f t="shared" si="11"/>
        <v>0</v>
      </c>
      <c r="AI21" s="341">
        <f t="shared" si="12"/>
        <v>1</v>
      </c>
      <c r="AJ21" s="341">
        <f t="shared" si="13"/>
        <v>0</v>
      </c>
      <c r="AK21" s="341">
        <f t="shared" si="14"/>
        <v>0</v>
      </c>
      <c r="AL21" s="341">
        <f t="shared" si="15"/>
        <v>0</v>
      </c>
      <c r="AM21" s="341">
        <f t="shared" si="16"/>
        <v>0</v>
      </c>
      <c r="AN21" s="341">
        <f t="shared" si="17"/>
        <v>0</v>
      </c>
      <c r="AO21" s="341">
        <f t="shared" si="18"/>
        <v>0</v>
      </c>
      <c r="AP21" s="341">
        <f t="shared" si="19"/>
        <v>1</v>
      </c>
    </row>
    <row r="22" spans="1:42" x14ac:dyDescent="0.15">
      <c r="A22" s="281" t="s">
        <v>78</v>
      </c>
      <c r="B22" s="319">
        <v>0.5</v>
      </c>
      <c r="C22" s="320">
        <v>1</v>
      </c>
      <c r="D22" s="248"/>
      <c r="E22" s="317">
        <v>-300</v>
      </c>
      <c r="F22" s="248" t="s">
        <v>124</v>
      </c>
      <c r="G22" s="248" t="str">
        <f>'Overzicht en kosten'!O25</f>
        <v>Nee</v>
      </c>
      <c r="H22" s="248">
        <f>IF(G22="ja",L1,0)</f>
        <v>0</v>
      </c>
      <c r="I22" s="1"/>
      <c r="J22" s="252">
        <v>20</v>
      </c>
      <c r="K22" s="253">
        <f t="shared" si="20"/>
        <v>-315</v>
      </c>
      <c r="L22" s="253">
        <f t="shared" si="21"/>
        <v>0</v>
      </c>
      <c r="M22" s="253">
        <f t="shared" si="1"/>
        <v>0</v>
      </c>
      <c r="N22" s="251"/>
      <c r="O22" s="251"/>
      <c r="P22" s="251"/>
      <c r="Q22" s="251"/>
      <c r="R22" s="253">
        <f>IF($G$28="ja",$E$28,0)</f>
        <v>-300</v>
      </c>
      <c r="S22" s="251"/>
      <c r="T22" s="251"/>
      <c r="U22" s="251"/>
      <c r="V22" s="253">
        <f t="shared" si="2"/>
        <v>0</v>
      </c>
      <c r="W22" s="253">
        <f t="shared" si="3"/>
        <v>-15</v>
      </c>
      <c r="X22" s="338">
        <f t="shared" si="5"/>
        <v>1</v>
      </c>
      <c r="Y22">
        <f t="shared" si="6"/>
        <v>0.05</v>
      </c>
      <c r="Z22" s="328">
        <f t="shared" si="7"/>
        <v>1.05</v>
      </c>
      <c r="AA22" s="328"/>
      <c r="AB22" s="343">
        <v>20</v>
      </c>
      <c r="AC22">
        <f>SUM(Z3:Z22)</f>
        <v>14.000000000000007</v>
      </c>
      <c r="AE22" s="341">
        <f t="shared" si="8"/>
        <v>0</v>
      </c>
      <c r="AF22" s="341">
        <f t="shared" si="9"/>
        <v>0</v>
      </c>
      <c r="AG22" s="341">
        <f t="shared" si="10"/>
        <v>0</v>
      </c>
      <c r="AH22" s="341">
        <f t="shared" si="11"/>
        <v>0</v>
      </c>
      <c r="AI22" s="341">
        <f t="shared" si="12"/>
        <v>0</v>
      </c>
      <c r="AJ22" s="341">
        <f t="shared" si="13"/>
        <v>0</v>
      </c>
      <c r="AK22" s="341">
        <f t="shared" si="14"/>
        <v>1</v>
      </c>
      <c r="AL22" s="341">
        <f t="shared" si="15"/>
        <v>0</v>
      </c>
      <c r="AM22" s="341">
        <f t="shared" si="16"/>
        <v>0</v>
      </c>
      <c r="AN22" s="341">
        <f t="shared" si="17"/>
        <v>0</v>
      </c>
      <c r="AO22" s="341">
        <f t="shared" si="18"/>
        <v>0</v>
      </c>
      <c r="AP22" s="341">
        <f t="shared" si="19"/>
        <v>1</v>
      </c>
    </row>
    <row r="23" spans="1:42" x14ac:dyDescent="0.15">
      <c r="A23" s="282" t="s">
        <v>130</v>
      </c>
      <c r="B23" s="321">
        <v>1</v>
      </c>
      <c r="C23" s="322">
        <v>1</v>
      </c>
      <c r="D23" s="248"/>
      <c r="E23" s="318">
        <v>-300</v>
      </c>
      <c r="F23" s="248" t="s">
        <v>124</v>
      </c>
      <c r="G23" s="248" t="str">
        <f>'Overzicht en kosten'!O27</f>
        <v>Nee</v>
      </c>
      <c r="H23" s="248">
        <f>IF(G23="ja",M1,0)</f>
        <v>0</v>
      </c>
      <c r="I23" s="1"/>
      <c r="J23" s="252">
        <v>21</v>
      </c>
      <c r="K23" s="253">
        <f t="shared" si="20"/>
        <v>-15</v>
      </c>
      <c r="L23" s="253">
        <f t="shared" si="21"/>
        <v>0</v>
      </c>
      <c r="M23" s="253">
        <f t="shared" si="1"/>
        <v>0</v>
      </c>
      <c r="N23" s="251"/>
      <c r="O23" s="251"/>
      <c r="P23" s="251"/>
      <c r="Q23" s="251"/>
      <c r="R23" s="251"/>
      <c r="S23" s="251"/>
      <c r="T23" s="251"/>
      <c r="U23" s="253"/>
      <c r="V23" s="253">
        <f t="shared" si="2"/>
        <v>0</v>
      </c>
      <c r="W23" s="253">
        <f t="shared" si="3"/>
        <v>-15</v>
      </c>
      <c r="X23" s="338">
        <f t="shared" si="5"/>
        <v>0</v>
      </c>
      <c r="Y23">
        <f t="shared" si="6"/>
        <v>0.05</v>
      </c>
      <c r="Z23" s="328">
        <f t="shared" si="7"/>
        <v>0.05</v>
      </c>
      <c r="AA23" s="328"/>
      <c r="AB23" s="343">
        <v>21</v>
      </c>
      <c r="AC23">
        <f>SUM(Z3:Z23)</f>
        <v>14.050000000000008</v>
      </c>
      <c r="AE23" s="341">
        <f t="shared" si="8"/>
        <v>0</v>
      </c>
      <c r="AF23" s="341">
        <f t="shared" si="9"/>
        <v>0</v>
      </c>
      <c r="AG23" s="341">
        <f t="shared" si="10"/>
        <v>0</v>
      </c>
      <c r="AH23" s="341">
        <f t="shared" si="11"/>
        <v>0</v>
      </c>
      <c r="AI23" s="341">
        <f t="shared" si="12"/>
        <v>0</v>
      </c>
      <c r="AJ23" s="341">
        <f t="shared" si="13"/>
        <v>0</v>
      </c>
      <c r="AK23" s="341">
        <f t="shared" si="14"/>
        <v>0</v>
      </c>
      <c r="AL23" s="341">
        <f t="shared" si="15"/>
        <v>0</v>
      </c>
      <c r="AM23" s="341">
        <f t="shared" si="16"/>
        <v>0</v>
      </c>
      <c r="AN23" s="341">
        <f t="shared" si="17"/>
        <v>0</v>
      </c>
      <c r="AO23" s="341">
        <f t="shared" si="18"/>
        <v>0</v>
      </c>
      <c r="AP23" s="341">
        <f t="shared" si="19"/>
        <v>0</v>
      </c>
    </row>
    <row r="24" spans="1:42" x14ac:dyDescent="0.15">
      <c r="A24" s="283" t="s">
        <v>131</v>
      </c>
      <c r="B24" s="321">
        <v>4</v>
      </c>
      <c r="C24" s="322">
        <v>2</v>
      </c>
      <c r="D24" s="248"/>
      <c r="E24" s="318">
        <v>-300</v>
      </c>
      <c r="F24" s="248" t="s">
        <v>124</v>
      </c>
      <c r="G24" s="248" t="str">
        <f>'Overzicht en kosten'!O29</f>
        <v>Ja</v>
      </c>
      <c r="H24" s="248">
        <f>IF(G24="ja",N1,0)</f>
        <v>13</v>
      </c>
      <c r="I24" s="1"/>
      <c r="J24" s="252">
        <v>22</v>
      </c>
      <c r="K24" s="253">
        <f t="shared" si="20"/>
        <v>-315</v>
      </c>
      <c r="L24" s="253">
        <f t="shared" si="21"/>
        <v>0</v>
      </c>
      <c r="M24" s="253">
        <f t="shared" si="1"/>
        <v>0</v>
      </c>
      <c r="N24" s="253">
        <f>IF($G$24="ja",$E$24,0)</f>
        <v>-300</v>
      </c>
      <c r="O24" s="251"/>
      <c r="P24" s="251"/>
      <c r="Q24" s="251"/>
      <c r="R24" s="251"/>
      <c r="S24" s="251"/>
      <c r="T24" s="253"/>
      <c r="U24" s="251"/>
      <c r="V24" s="253">
        <f t="shared" si="2"/>
        <v>0</v>
      </c>
      <c r="W24" s="253">
        <f t="shared" si="3"/>
        <v>-15</v>
      </c>
      <c r="X24" s="338">
        <f t="shared" si="5"/>
        <v>1</v>
      </c>
      <c r="Y24">
        <f t="shared" si="6"/>
        <v>0.05</v>
      </c>
      <c r="Z24" s="328">
        <f t="shared" si="7"/>
        <v>1.05</v>
      </c>
      <c r="AA24" s="328"/>
      <c r="AB24" s="343">
        <v>22</v>
      </c>
      <c r="AC24">
        <f>SUM(Z3:Z24)</f>
        <v>15.100000000000009</v>
      </c>
      <c r="AE24" s="341">
        <f t="shared" si="8"/>
        <v>0</v>
      </c>
      <c r="AF24" s="341">
        <f t="shared" si="9"/>
        <v>0</v>
      </c>
      <c r="AG24" s="341">
        <f t="shared" si="10"/>
        <v>1</v>
      </c>
      <c r="AH24" s="341">
        <f t="shared" si="11"/>
        <v>0</v>
      </c>
      <c r="AI24" s="341">
        <f t="shared" si="12"/>
        <v>0</v>
      </c>
      <c r="AJ24" s="341">
        <f t="shared" si="13"/>
        <v>0</v>
      </c>
      <c r="AK24" s="341">
        <f t="shared" si="14"/>
        <v>0</v>
      </c>
      <c r="AL24" s="341">
        <f t="shared" si="15"/>
        <v>0</v>
      </c>
      <c r="AM24" s="341">
        <f t="shared" si="16"/>
        <v>0</v>
      </c>
      <c r="AN24" s="341">
        <f t="shared" si="17"/>
        <v>0</v>
      </c>
      <c r="AO24" s="341">
        <f t="shared" si="18"/>
        <v>0</v>
      </c>
      <c r="AP24" s="341">
        <f t="shared" si="19"/>
        <v>1</v>
      </c>
    </row>
    <row r="25" spans="1:42" x14ac:dyDescent="0.15">
      <c r="A25" s="283" t="s">
        <v>81</v>
      </c>
      <c r="B25" s="321">
        <v>18</v>
      </c>
      <c r="C25" s="322">
        <v>9</v>
      </c>
      <c r="D25" s="248"/>
      <c r="E25" s="318">
        <v>-300</v>
      </c>
      <c r="F25" s="248" t="s">
        <v>124</v>
      </c>
      <c r="G25" s="248" t="str">
        <f>'Overzicht en kosten'!O31</f>
        <v>Ja</v>
      </c>
      <c r="H25" s="248">
        <f>IF(G25="ja",O1,0)</f>
        <v>3</v>
      </c>
      <c r="I25" s="1"/>
      <c r="J25" s="252">
        <v>23</v>
      </c>
      <c r="K25" s="253">
        <f t="shared" si="20"/>
        <v>-615</v>
      </c>
      <c r="L25" s="253">
        <f t="shared" si="21"/>
        <v>0</v>
      </c>
      <c r="M25" s="253">
        <f t="shared" si="1"/>
        <v>0</v>
      </c>
      <c r="N25" s="251"/>
      <c r="O25" s="251"/>
      <c r="P25" s="251"/>
      <c r="Q25" s="251"/>
      <c r="R25" s="251"/>
      <c r="S25" s="251"/>
      <c r="T25" s="251"/>
      <c r="U25" s="253">
        <f>IF($G$31="ja",$E$31,0)</f>
        <v>-600</v>
      </c>
      <c r="V25" s="253">
        <f t="shared" si="2"/>
        <v>0</v>
      </c>
      <c r="W25" s="253">
        <f t="shared" si="3"/>
        <v>-15</v>
      </c>
      <c r="X25" s="338">
        <f t="shared" si="5"/>
        <v>1</v>
      </c>
      <c r="Y25">
        <f t="shared" si="6"/>
        <v>0.05</v>
      </c>
      <c r="Z25" s="328">
        <f t="shared" si="7"/>
        <v>1.05</v>
      </c>
      <c r="AA25" s="328"/>
      <c r="AB25" s="343">
        <v>23</v>
      </c>
      <c r="AC25">
        <f>SUM(Z3:Z25)</f>
        <v>16.150000000000009</v>
      </c>
      <c r="AE25" s="341">
        <f t="shared" si="8"/>
        <v>0</v>
      </c>
      <c r="AF25" s="341">
        <f t="shared" si="9"/>
        <v>0</v>
      </c>
      <c r="AG25" s="341">
        <f t="shared" si="10"/>
        <v>0</v>
      </c>
      <c r="AH25" s="341">
        <f t="shared" si="11"/>
        <v>0</v>
      </c>
      <c r="AI25" s="341">
        <f t="shared" si="12"/>
        <v>0</v>
      </c>
      <c r="AJ25" s="341">
        <f t="shared" si="13"/>
        <v>0</v>
      </c>
      <c r="AK25" s="341">
        <f t="shared" si="14"/>
        <v>0</v>
      </c>
      <c r="AL25" s="341">
        <f t="shared" si="15"/>
        <v>0</v>
      </c>
      <c r="AM25" s="341">
        <f t="shared" si="16"/>
        <v>0</v>
      </c>
      <c r="AN25" s="341">
        <f t="shared" si="17"/>
        <v>1</v>
      </c>
      <c r="AO25" s="341">
        <f t="shared" si="18"/>
        <v>0</v>
      </c>
      <c r="AP25" s="341">
        <f t="shared" si="19"/>
        <v>1</v>
      </c>
    </row>
    <row r="26" spans="1:42" x14ac:dyDescent="0.15">
      <c r="A26" s="283" t="s">
        <v>82</v>
      </c>
      <c r="B26" s="321">
        <v>18</v>
      </c>
      <c r="C26" s="322">
        <v>1</v>
      </c>
      <c r="D26" s="248"/>
      <c r="E26" s="318">
        <v>-300</v>
      </c>
      <c r="F26" s="248" t="s">
        <v>124</v>
      </c>
      <c r="G26" s="248" t="str">
        <f>'Overzicht en kosten'!O33</f>
        <v>Ja</v>
      </c>
      <c r="H26" s="248">
        <f>IF(G26="ja",P1,0)</f>
        <v>3</v>
      </c>
      <c r="I26" s="1"/>
      <c r="J26" s="252">
        <v>24</v>
      </c>
      <c r="K26" s="253">
        <f t="shared" si="20"/>
        <v>-15</v>
      </c>
      <c r="L26" s="253">
        <f t="shared" si="21"/>
        <v>0</v>
      </c>
      <c r="M26" s="253">
        <f t="shared" si="1"/>
        <v>0</v>
      </c>
      <c r="N26" s="251"/>
      <c r="O26" s="251"/>
      <c r="P26" s="251"/>
      <c r="Q26" s="251"/>
      <c r="R26" s="251"/>
      <c r="S26" s="251"/>
      <c r="T26" s="251"/>
      <c r="U26" s="251"/>
      <c r="V26" s="253">
        <f t="shared" si="2"/>
        <v>0</v>
      </c>
      <c r="W26" s="253">
        <f t="shared" si="3"/>
        <v>-15</v>
      </c>
      <c r="X26" s="338">
        <f t="shared" si="5"/>
        <v>0</v>
      </c>
      <c r="Y26">
        <f t="shared" si="6"/>
        <v>0.05</v>
      </c>
      <c r="Z26" s="328">
        <f t="shared" si="7"/>
        <v>0.05</v>
      </c>
      <c r="AA26" s="328"/>
      <c r="AB26" s="343">
        <v>24</v>
      </c>
      <c r="AC26">
        <f>SUM(Z3:Z26)</f>
        <v>16.20000000000001</v>
      </c>
      <c r="AE26" s="341">
        <f t="shared" si="8"/>
        <v>0</v>
      </c>
      <c r="AF26" s="341">
        <f t="shared" si="9"/>
        <v>0</v>
      </c>
      <c r="AG26" s="341">
        <f t="shared" si="10"/>
        <v>0</v>
      </c>
      <c r="AH26" s="341">
        <f t="shared" si="11"/>
        <v>0</v>
      </c>
      <c r="AI26" s="341">
        <f t="shared" si="12"/>
        <v>0</v>
      </c>
      <c r="AJ26" s="341">
        <f t="shared" si="13"/>
        <v>0</v>
      </c>
      <c r="AK26" s="341">
        <f t="shared" si="14"/>
        <v>0</v>
      </c>
      <c r="AL26" s="341">
        <f t="shared" si="15"/>
        <v>0</v>
      </c>
      <c r="AM26" s="341">
        <f t="shared" si="16"/>
        <v>0</v>
      </c>
      <c r="AN26" s="341">
        <f t="shared" si="17"/>
        <v>0</v>
      </c>
      <c r="AO26" s="341">
        <f t="shared" si="18"/>
        <v>0</v>
      </c>
      <c r="AP26" s="341">
        <f t="shared" si="19"/>
        <v>0</v>
      </c>
    </row>
    <row r="27" spans="1:42" x14ac:dyDescent="0.15">
      <c r="A27" s="283" t="s">
        <v>83</v>
      </c>
      <c r="B27" s="321">
        <v>25</v>
      </c>
      <c r="C27" s="322">
        <v>1</v>
      </c>
      <c r="D27" s="248"/>
      <c r="E27" s="318">
        <v>-300</v>
      </c>
      <c r="F27" s="248" t="s">
        <v>124</v>
      </c>
      <c r="G27" s="248" t="str">
        <f>'Overzicht en kosten'!O35</f>
        <v>Nee</v>
      </c>
      <c r="H27" s="248">
        <f>IF(G27="ja",Q1,0)</f>
        <v>0</v>
      </c>
      <c r="I27" s="1"/>
      <c r="J27" s="252">
        <v>25</v>
      </c>
      <c r="K27" s="253">
        <f t="shared" si="20"/>
        <v>-15</v>
      </c>
      <c r="L27" s="253">
        <f t="shared" si="21"/>
        <v>0</v>
      </c>
      <c r="M27" s="253">
        <f t="shared" si="1"/>
        <v>0</v>
      </c>
      <c r="N27" s="251"/>
      <c r="O27" s="251"/>
      <c r="P27" s="251"/>
      <c r="Q27" s="251"/>
      <c r="R27" s="251"/>
      <c r="S27" s="251"/>
      <c r="T27" s="251"/>
      <c r="U27" s="251"/>
      <c r="V27" s="253">
        <f t="shared" si="2"/>
        <v>0</v>
      </c>
      <c r="W27" s="253">
        <f t="shared" si="3"/>
        <v>-15</v>
      </c>
      <c r="X27" s="338">
        <f t="shared" si="5"/>
        <v>0</v>
      </c>
      <c r="Y27">
        <f t="shared" si="6"/>
        <v>0.05</v>
      </c>
      <c r="Z27" s="328">
        <f t="shared" si="7"/>
        <v>0.05</v>
      </c>
      <c r="AA27" s="328"/>
      <c r="AB27" s="343">
        <v>25</v>
      </c>
      <c r="AC27">
        <f>SUM(Z3:Z27)</f>
        <v>16.250000000000011</v>
      </c>
      <c r="AE27" s="341">
        <f t="shared" si="8"/>
        <v>0</v>
      </c>
      <c r="AF27" s="341">
        <f t="shared" si="9"/>
        <v>0</v>
      </c>
      <c r="AG27" s="341">
        <f t="shared" si="10"/>
        <v>0</v>
      </c>
      <c r="AH27" s="341">
        <f t="shared" si="11"/>
        <v>0</v>
      </c>
      <c r="AI27" s="341">
        <f t="shared" si="12"/>
        <v>0</v>
      </c>
      <c r="AJ27" s="341">
        <f t="shared" si="13"/>
        <v>0</v>
      </c>
      <c r="AK27" s="341">
        <f t="shared" si="14"/>
        <v>0</v>
      </c>
      <c r="AL27" s="341">
        <f t="shared" si="15"/>
        <v>0</v>
      </c>
      <c r="AM27" s="341">
        <f t="shared" si="16"/>
        <v>0</v>
      </c>
      <c r="AN27" s="341">
        <f t="shared" si="17"/>
        <v>0</v>
      </c>
      <c r="AO27" s="341">
        <f t="shared" si="18"/>
        <v>0</v>
      </c>
      <c r="AP27" s="341">
        <f t="shared" si="19"/>
        <v>0</v>
      </c>
    </row>
    <row r="28" spans="1:42" x14ac:dyDescent="0.15">
      <c r="A28" s="283" t="s">
        <v>84</v>
      </c>
      <c r="B28" s="321">
        <v>8</v>
      </c>
      <c r="C28" s="322">
        <v>4</v>
      </c>
      <c r="D28" s="248"/>
      <c r="E28" s="318">
        <v>-300</v>
      </c>
      <c r="F28" s="248" t="s">
        <v>124</v>
      </c>
      <c r="G28" s="248" t="str">
        <f>'Overzicht en kosten'!O37</f>
        <v>Ja</v>
      </c>
      <c r="H28" s="248">
        <f>IF(G28="ja",R1,0)</f>
        <v>6</v>
      </c>
      <c r="I28" s="1"/>
      <c r="J28" s="252">
        <v>26</v>
      </c>
      <c r="K28" s="253">
        <f t="shared" si="20"/>
        <v>-315</v>
      </c>
      <c r="L28" s="253">
        <f t="shared" si="21"/>
        <v>0</v>
      </c>
      <c r="M28" s="253">
        <f t="shared" si="1"/>
        <v>0</v>
      </c>
      <c r="N28" s="253">
        <f>IF($G$24="ja",$E$24,0)</f>
        <v>-300</v>
      </c>
      <c r="O28" s="251"/>
      <c r="P28" s="251"/>
      <c r="Q28" s="253">
        <f>IF($G$27="ja",$E$27,0)</f>
        <v>0</v>
      </c>
      <c r="R28" s="251"/>
      <c r="S28" s="251"/>
      <c r="T28" s="251"/>
      <c r="U28" s="251"/>
      <c r="V28" s="253">
        <f t="shared" si="2"/>
        <v>0</v>
      </c>
      <c r="W28" s="253">
        <f t="shared" si="3"/>
        <v>-15</v>
      </c>
      <c r="X28" s="338">
        <f t="shared" si="5"/>
        <v>1</v>
      </c>
      <c r="Y28">
        <f t="shared" si="6"/>
        <v>0.05</v>
      </c>
      <c r="Z28" s="328">
        <f t="shared" si="7"/>
        <v>1.05</v>
      </c>
      <c r="AA28" s="328"/>
      <c r="AB28" s="343">
        <v>26</v>
      </c>
      <c r="AC28">
        <f>SUM(Z3:Z28)</f>
        <v>17.300000000000011</v>
      </c>
      <c r="AE28" s="341">
        <f t="shared" si="8"/>
        <v>0</v>
      </c>
      <c r="AF28" s="341">
        <f t="shared" si="9"/>
        <v>0</v>
      </c>
      <c r="AG28" s="341">
        <f t="shared" si="10"/>
        <v>1</v>
      </c>
      <c r="AH28" s="341">
        <f t="shared" si="11"/>
        <v>0</v>
      </c>
      <c r="AI28" s="341">
        <f t="shared" si="12"/>
        <v>0</v>
      </c>
      <c r="AJ28" s="341">
        <f t="shared" si="13"/>
        <v>0</v>
      </c>
      <c r="AK28" s="341">
        <f t="shared" si="14"/>
        <v>0</v>
      </c>
      <c r="AL28" s="341">
        <f t="shared" si="15"/>
        <v>0</v>
      </c>
      <c r="AM28" s="341">
        <f t="shared" si="16"/>
        <v>0</v>
      </c>
      <c r="AN28" s="341">
        <f t="shared" si="17"/>
        <v>0</v>
      </c>
      <c r="AO28" s="341">
        <f t="shared" si="18"/>
        <v>0</v>
      </c>
      <c r="AP28" s="341">
        <f t="shared" si="19"/>
        <v>1</v>
      </c>
    </row>
    <row r="29" spans="1:42" x14ac:dyDescent="0.15">
      <c r="A29" s="283" t="s">
        <v>94</v>
      </c>
      <c r="B29" s="321">
        <v>12</v>
      </c>
      <c r="C29" s="322">
        <v>6</v>
      </c>
      <c r="D29" s="248"/>
      <c r="E29" s="318">
        <v>-300</v>
      </c>
      <c r="F29" s="248" t="s">
        <v>124</v>
      </c>
      <c r="G29" s="248" t="str">
        <f>'Overzicht en kosten'!O39</f>
        <v>Nee</v>
      </c>
      <c r="H29" s="248">
        <f>IF(G29="ja",S1,0)</f>
        <v>0</v>
      </c>
      <c r="I29" s="1"/>
      <c r="J29" s="252">
        <v>27</v>
      </c>
      <c r="K29" s="253">
        <f t="shared" si="20"/>
        <v>-615</v>
      </c>
      <c r="L29" s="253">
        <f t="shared" si="21"/>
        <v>0</v>
      </c>
      <c r="M29" s="253">
        <f t="shared" si="1"/>
        <v>0</v>
      </c>
      <c r="N29" s="251"/>
      <c r="O29" s="253">
        <f>IF($G$25="ja",$E$25,0)</f>
        <v>-300</v>
      </c>
      <c r="P29" s="251"/>
      <c r="Q29" s="251"/>
      <c r="R29" s="251"/>
      <c r="S29" s="251"/>
      <c r="T29" s="253">
        <f>IF($G$30="ja",$E$30,0)</f>
        <v>-300</v>
      </c>
      <c r="U29" s="251"/>
      <c r="V29" s="253">
        <f t="shared" si="2"/>
        <v>0</v>
      </c>
      <c r="W29" s="253">
        <f t="shared" si="3"/>
        <v>-15</v>
      </c>
      <c r="X29" s="338">
        <f t="shared" si="5"/>
        <v>2</v>
      </c>
      <c r="Y29">
        <f t="shared" si="6"/>
        <v>0.05</v>
      </c>
      <c r="Z29" s="328">
        <f t="shared" si="7"/>
        <v>2.0499999999999998</v>
      </c>
      <c r="AA29" s="328"/>
      <c r="AB29" s="343">
        <v>27</v>
      </c>
      <c r="AC29">
        <f>SUM(Z3:Z29)</f>
        <v>19.350000000000012</v>
      </c>
      <c r="AE29" s="341">
        <f t="shared" si="8"/>
        <v>0</v>
      </c>
      <c r="AF29" s="341">
        <f t="shared" si="9"/>
        <v>0</v>
      </c>
      <c r="AG29" s="341">
        <f t="shared" si="10"/>
        <v>0</v>
      </c>
      <c r="AH29" s="341">
        <f t="shared" si="11"/>
        <v>1</v>
      </c>
      <c r="AI29" s="341">
        <f t="shared" si="12"/>
        <v>0</v>
      </c>
      <c r="AJ29" s="341">
        <f t="shared" si="13"/>
        <v>0</v>
      </c>
      <c r="AK29" s="341">
        <f t="shared" si="14"/>
        <v>0</v>
      </c>
      <c r="AL29" s="341">
        <f t="shared" si="15"/>
        <v>0</v>
      </c>
      <c r="AM29" s="341">
        <f t="shared" si="16"/>
        <v>1</v>
      </c>
      <c r="AN29" s="341">
        <f t="shared" si="17"/>
        <v>0</v>
      </c>
      <c r="AO29" s="341">
        <f t="shared" si="18"/>
        <v>0</v>
      </c>
      <c r="AP29" s="341">
        <f t="shared" si="19"/>
        <v>2</v>
      </c>
    </row>
    <row r="30" spans="1:42" x14ac:dyDescent="0.15">
      <c r="A30" s="283" t="s">
        <v>85</v>
      </c>
      <c r="B30" s="321">
        <v>22</v>
      </c>
      <c r="C30" s="322">
        <v>5</v>
      </c>
      <c r="D30" s="248"/>
      <c r="E30" s="318">
        <v>-300</v>
      </c>
      <c r="F30" s="248" t="s">
        <v>124</v>
      </c>
      <c r="G30" s="248" t="str">
        <f>'Overzicht en kosten'!O41</f>
        <v>Ja</v>
      </c>
      <c r="H30" s="248">
        <f>IF(G30="ja",T1,0)</f>
        <v>3</v>
      </c>
      <c r="J30" s="252">
        <v>28</v>
      </c>
      <c r="K30" s="253">
        <f t="shared" si="20"/>
        <v>-315</v>
      </c>
      <c r="L30" s="253">
        <f t="shared" si="21"/>
        <v>0</v>
      </c>
      <c r="M30" s="253">
        <f t="shared" si="1"/>
        <v>0</v>
      </c>
      <c r="N30" s="251"/>
      <c r="O30" s="251"/>
      <c r="P30" s="251"/>
      <c r="Q30" s="251"/>
      <c r="R30" s="253">
        <f>IF($G$28="ja",$E$28,0)</f>
        <v>-300</v>
      </c>
      <c r="S30" s="251"/>
      <c r="T30" s="251"/>
      <c r="U30" s="251"/>
      <c r="V30" s="253">
        <f t="shared" si="2"/>
        <v>0</v>
      </c>
      <c r="W30" s="253">
        <f t="shared" si="3"/>
        <v>-15</v>
      </c>
      <c r="X30" s="338">
        <f t="shared" si="5"/>
        <v>1</v>
      </c>
      <c r="Y30">
        <f t="shared" si="6"/>
        <v>0.05</v>
      </c>
      <c r="Z30" s="328">
        <f t="shared" si="7"/>
        <v>1.05</v>
      </c>
      <c r="AA30" s="328"/>
      <c r="AB30" s="343">
        <v>28</v>
      </c>
      <c r="AC30">
        <f>SUM(Z3:Z30)</f>
        <v>20.400000000000013</v>
      </c>
      <c r="AE30" s="341">
        <f t="shared" si="8"/>
        <v>0</v>
      </c>
      <c r="AF30" s="341">
        <f t="shared" si="9"/>
        <v>0</v>
      </c>
      <c r="AG30" s="341">
        <f t="shared" si="10"/>
        <v>0</v>
      </c>
      <c r="AH30" s="341">
        <f t="shared" si="11"/>
        <v>0</v>
      </c>
      <c r="AI30" s="341">
        <f t="shared" si="12"/>
        <v>0</v>
      </c>
      <c r="AJ30" s="341">
        <f t="shared" si="13"/>
        <v>0</v>
      </c>
      <c r="AK30" s="341">
        <f t="shared" si="14"/>
        <v>1</v>
      </c>
      <c r="AL30" s="341">
        <f t="shared" si="15"/>
        <v>0</v>
      </c>
      <c r="AM30" s="341">
        <f t="shared" si="16"/>
        <v>0</v>
      </c>
      <c r="AN30" s="341">
        <f t="shared" si="17"/>
        <v>0</v>
      </c>
      <c r="AO30" s="341">
        <f t="shared" si="18"/>
        <v>0</v>
      </c>
      <c r="AP30" s="341">
        <f t="shared" si="19"/>
        <v>1</v>
      </c>
    </row>
    <row r="31" spans="1:42" x14ac:dyDescent="0.15">
      <c r="A31" s="283" t="s">
        <v>132</v>
      </c>
      <c r="B31" s="321">
        <v>20</v>
      </c>
      <c r="C31" s="322">
        <v>3</v>
      </c>
      <c r="D31" s="248"/>
      <c r="E31" s="318">
        <v>-600</v>
      </c>
      <c r="F31" s="248" t="s">
        <v>124</v>
      </c>
      <c r="G31" s="248" t="str">
        <f>'Overzicht en kosten'!O43</f>
        <v>Ja</v>
      </c>
      <c r="H31" s="248">
        <f>IF(G31="ja",U1,0)</f>
        <v>3</v>
      </c>
      <c r="J31" s="252">
        <v>29</v>
      </c>
      <c r="K31" s="253">
        <f t="shared" si="20"/>
        <v>-15</v>
      </c>
      <c r="L31" s="253">
        <f t="shared" si="21"/>
        <v>0</v>
      </c>
      <c r="M31" s="253">
        <f t="shared" si="1"/>
        <v>0</v>
      </c>
      <c r="N31" s="251"/>
      <c r="O31" s="251"/>
      <c r="P31" s="251"/>
      <c r="Q31" s="251"/>
      <c r="R31" s="251"/>
      <c r="S31" s="251"/>
      <c r="T31" s="251"/>
      <c r="U31" s="251"/>
      <c r="V31" s="253">
        <f t="shared" si="2"/>
        <v>0</v>
      </c>
      <c r="W31" s="253">
        <f t="shared" si="3"/>
        <v>-15</v>
      </c>
      <c r="X31" s="338">
        <f t="shared" si="5"/>
        <v>0</v>
      </c>
      <c r="Y31">
        <f t="shared" si="6"/>
        <v>0.05</v>
      </c>
      <c r="Z31" s="328">
        <f t="shared" si="7"/>
        <v>0.05</v>
      </c>
      <c r="AA31" s="328"/>
      <c r="AB31" s="343">
        <v>29</v>
      </c>
      <c r="AC31">
        <f>SUM(Z3:Z31)</f>
        <v>20.450000000000014</v>
      </c>
      <c r="AE31" s="341">
        <f t="shared" si="8"/>
        <v>0</v>
      </c>
      <c r="AF31" s="341">
        <f t="shared" si="9"/>
        <v>0</v>
      </c>
      <c r="AG31" s="341">
        <f t="shared" si="10"/>
        <v>0</v>
      </c>
      <c r="AH31" s="341">
        <f t="shared" si="11"/>
        <v>0</v>
      </c>
      <c r="AI31" s="341">
        <f t="shared" si="12"/>
        <v>0</v>
      </c>
      <c r="AJ31" s="341">
        <f t="shared" si="13"/>
        <v>0</v>
      </c>
      <c r="AK31" s="341">
        <f t="shared" si="14"/>
        <v>0</v>
      </c>
      <c r="AL31" s="341">
        <f t="shared" si="15"/>
        <v>0</v>
      </c>
      <c r="AM31" s="341">
        <f t="shared" si="16"/>
        <v>0</v>
      </c>
      <c r="AN31" s="341">
        <f t="shared" si="17"/>
        <v>0</v>
      </c>
      <c r="AO31" s="341">
        <f t="shared" si="18"/>
        <v>0</v>
      </c>
      <c r="AP31" s="341">
        <f t="shared" si="19"/>
        <v>0</v>
      </c>
    </row>
    <row r="32" spans="1:42" x14ac:dyDescent="0.15">
      <c r="A32" s="284" t="s">
        <v>135</v>
      </c>
      <c r="B32" s="323">
        <v>1</v>
      </c>
      <c r="C32" s="324">
        <v>1</v>
      </c>
      <c r="D32" s="248"/>
      <c r="E32" s="318">
        <v>-400</v>
      </c>
      <c r="F32" s="248" t="s">
        <v>75</v>
      </c>
      <c r="G32" s="248" t="str">
        <f>'Overzicht en kosten'!O45</f>
        <v>Nee</v>
      </c>
      <c r="H32" s="248">
        <f>IF(G32="ja",V1,0)</f>
        <v>0</v>
      </c>
      <c r="J32" s="252">
        <v>30</v>
      </c>
      <c r="K32" s="253">
        <f t="shared" si="20"/>
        <v>-315</v>
      </c>
      <c r="L32" s="253">
        <f t="shared" si="21"/>
        <v>0</v>
      </c>
      <c r="M32" s="253">
        <f t="shared" si="1"/>
        <v>0</v>
      </c>
      <c r="N32" s="253">
        <f>IF($G$24="ja",$E$24,0)</f>
        <v>-300</v>
      </c>
      <c r="O32" s="251"/>
      <c r="P32" s="251"/>
      <c r="Q32" s="251"/>
      <c r="R32" s="251"/>
      <c r="S32" s="251"/>
      <c r="T32" s="251"/>
      <c r="U32" s="251"/>
      <c r="V32" s="253">
        <f t="shared" si="2"/>
        <v>0</v>
      </c>
      <c r="W32" s="253">
        <f t="shared" si="3"/>
        <v>-15</v>
      </c>
      <c r="X32" s="338">
        <f t="shared" si="5"/>
        <v>1</v>
      </c>
      <c r="Y32">
        <f t="shared" si="6"/>
        <v>0.05</v>
      </c>
      <c r="Z32" s="328">
        <f t="shared" si="7"/>
        <v>1.05</v>
      </c>
      <c r="AA32" s="328"/>
      <c r="AB32" s="343">
        <v>30</v>
      </c>
      <c r="AC32">
        <f>SUM(Z3:Z32)</f>
        <v>21.500000000000014</v>
      </c>
      <c r="AE32" s="341">
        <f t="shared" si="8"/>
        <v>0</v>
      </c>
      <c r="AF32" s="341">
        <f t="shared" si="9"/>
        <v>0</v>
      </c>
      <c r="AG32" s="341">
        <f t="shared" si="10"/>
        <v>1</v>
      </c>
      <c r="AH32" s="341">
        <f t="shared" si="11"/>
        <v>0</v>
      </c>
      <c r="AI32" s="341">
        <f t="shared" si="12"/>
        <v>0</v>
      </c>
      <c r="AJ32" s="341">
        <f t="shared" si="13"/>
        <v>0</v>
      </c>
      <c r="AK32" s="341">
        <f t="shared" si="14"/>
        <v>0</v>
      </c>
      <c r="AL32" s="341">
        <f t="shared" si="15"/>
        <v>0</v>
      </c>
      <c r="AM32" s="341">
        <f t="shared" si="16"/>
        <v>0</v>
      </c>
      <c r="AN32" s="341">
        <f t="shared" si="17"/>
        <v>0</v>
      </c>
      <c r="AO32" s="341">
        <f t="shared" si="18"/>
        <v>0</v>
      </c>
      <c r="AP32" s="341">
        <f t="shared" si="19"/>
        <v>1</v>
      </c>
    </row>
    <row r="33" spans="1:42" x14ac:dyDescent="0.15">
      <c r="A33" s="248" t="s">
        <v>137</v>
      </c>
      <c r="B33" s="250" t="s">
        <v>97</v>
      </c>
      <c r="C33" s="248">
        <v>1</v>
      </c>
      <c r="D33" s="248"/>
      <c r="E33" s="316">
        <f>0.05*-300</f>
        <v>-15</v>
      </c>
      <c r="F33" s="248" t="s">
        <v>124</v>
      </c>
      <c r="G33" s="248" t="s">
        <v>79</v>
      </c>
      <c r="H33" s="248">
        <f>IF(G33="ja",W1,0)</f>
        <v>2.5</v>
      </c>
      <c r="J33" s="252">
        <v>31</v>
      </c>
      <c r="K33" s="253">
        <f t="shared" si="20"/>
        <v>-15</v>
      </c>
      <c r="L33" s="253">
        <f t="shared" si="21"/>
        <v>0</v>
      </c>
      <c r="M33" s="253">
        <f t="shared" si="1"/>
        <v>0</v>
      </c>
      <c r="N33" s="251"/>
      <c r="O33" s="251"/>
      <c r="P33" s="251"/>
      <c r="Q33" s="251"/>
      <c r="R33" s="251"/>
      <c r="S33" s="253">
        <f>IF($G$29="ja",$E$29,0)</f>
        <v>0</v>
      </c>
      <c r="T33" s="251"/>
      <c r="U33" s="251"/>
      <c r="V33" s="253">
        <f t="shared" si="2"/>
        <v>0</v>
      </c>
      <c r="W33" s="253">
        <f t="shared" si="3"/>
        <v>-15</v>
      </c>
      <c r="X33" s="338">
        <f t="shared" si="5"/>
        <v>0</v>
      </c>
      <c r="Y33">
        <f t="shared" si="6"/>
        <v>0.05</v>
      </c>
      <c r="Z33" s="328">
        <f t="shared" si="7"/>
        <v>0.05</v>
      </c>
      <c r="AA33" s="328"/>
      <c r="AB33" s="343">
        <v>31</v>
      </c>
      <c r="AC33">
        <f>SUM(Z3:Z33)</f>
        <v>21.550000000000015</v>
      </c>
      <c r="AE33" s="341">
        <f t="shared" si="8"/>
        <v>0</v>
      </c>
      <c r="AF33" s="341">
        <f t="shared" si="9"/>
        <v>0</v>
      </c>
      <c r="AG33" s="341">
        <f t="shared" si="10"/>
        <v>0</v>
      </c>
      <c r="AH33" s="341">
        <f t="shared" si="11"/>
        <v>0</v>
      </c>
      <c r="AI33" s="341">
        <f t="shared" si="12"/>
        <v>0</v>
      </c>
      <c r="AJ33" s="341">
        <f t="shared" si="13"/>
        <v>0</v>
      </c>
      <c r="AK33" s="341">
        <f t="shared" si="14"/>
        <v>0</v>
      </c>
      <c r="AL33" s="341">
        <f t="shared" si="15"/>
        <v>0</v>
      </c>
      <c r="AM33" s="341">
        <f t="shared" si="16"/>
        <v>0</v>
      </c>
      <c r="AN33" s="341">
        <f t="shared" si="17"/>
        <v>0</v>
      </c>
      <c r="AO33" s="341">
        <f t="shared" si="18"/>
        <v>0</v>
      </c>
      <c r="AP33" s="341">
        <f t="shared" si="19"/>
        <v>0</v>
      </c>
    </row>
    <row r="34" spans="1:42" x14ac:dyDescent="0.15">
      <c r="G34" s="1" t="s">
        <v>104</v>
      </c>
      <c r="H34" s="1">
        <f>SUM(H22:H33)</f>
        <v>33.5</v>
      </c>
      <c r="J34" s="252">
        <v>32</v>
      </c>
      <c r="K34" s="253">
        <f t="shared" si="20"/>
        <v>-15</v>
      </c>
      <c r="L34" s="253">
        <f t="shared" si="21"/>
        <v>0</v>
      </c>
      <c r="M34" s="253">
        <f t="shared" si="1"/>
        <v>0</v>
      </c>
      <c r="N34" s="251"/>
      <c r="O34" s="251"/>
      <c r="P34" s="251"/>
      <c r="Q34" s="251"/>
      <c r="R34" s="251"/>
      <c r="S34" s="251"/>
      <c r="T34" s="253"/>
      <c r="U34" s="251"/>
      <c r="V34" s="253">
        <f t="shared" si="2"/>
        <v>0</v>
      </c>
      <c r="W34" s="253">
        <f t="shared" si="3"/>
        <v>-15</v>
      </c>
      <c r="X34" s="338">
        <f t="shared" si="5"/>
        <v>0</v>
      </c>
      <c r="Y34">
        <f t="shared" si="6"/>
        <v>0.05</v>
      </c>
      <c r="Z34" s="328">
        <f t="shared" si="7"/>
        <v>0.05</v>
      </c>
      <c r="AA34" s="328"/>
      <c r="AB34" s="343">
        <v>32</v>
      </c>
      <c r="AC34">
        <f>SUM(Z3:Z34)</f>
        <v>21.600000000000016</v>
      </c>
      <c r="AE34" s="341">
        <f t="shared" si="8"/>
        <v>0</v>
      </c>
      <c r="AF34" s="341">
        <f t="shared" si="9"/>
        <v>0</v>
      </c>
      <c r="AG34" s="341">
        <f t="shared" si="10"/>
        <v>0</v>
      </c>
      <c r="AH34" s="341">
        <f t="shared" si="11"/>
        <v>0</v>
      </c>
      <c r="AI34" s="341">
        <f t="shared" si="12"/>
        <v>0</v>
      </c>
      <c r="AJ34" s="341">
        <f t="shared" si="13"/>
        <v>0</v>
      </c>
      <c r="AK34" s="341">
        <f t="shared" si="14"/>
        <v>0</v>
      </c>
      <c r="AL34" s="341">
        <f t="shared" si="15"/>
        <v>0</v>
      </c>
      <c r="AM34" s="341">
        <f t="shared" si="16"/>
        <v>0</v>
      </c>
      <c r="AN34" s="341">
        <f t="shared" si="17"/>
        <v>0</v>
      </c>
      <c r="AO34" s="341">
        <f t="shared" si="18"/>
        <v>0</v>
      </c>
      <c r="AP34" s="341">
        <f t="shared" si="19"/>
        <v>0</v>
      </c>
    </row>
    <row r="35" spans="1:42" x14ac:dyDescent="0.15">
      <c r="J35" s="252">
        <v>33</v>
      </c>
      <c r="K35" s="253">
        <f t="shared" si="20"/>
        <v>-15</v>
      </c>
      <c r="L35" s="253">
        <f t="shared" si="21"/>
        <v>0</v>
      </c>
      <c r="M35" s="253">
        <f t="shared" ref="M35:M52" si="22">IF($G$23="ja",$E$23,0)</f>
        <v>0</v>
      </c>
      <c r="N35" s="251"/>
      <c r="O35" s="251"/>
      <c r="P35" s="251"/>
      <c r="Q35" s="251"/>
      <c r="R35" s="251"/>
      <c r="S35" s="251"/>
      <c r="T35" s="251"/>
      <c r="U35" s="251"/>
      <c r="V35" s="253">
        <f t="shared" ref="V35:V52" si="23">IF($G$32="ja",$E$32,0)</f>
        <v>0</v>
      </c>
      <c r="W35" s="253">
        <f t="shared" ref="W35:W52" si="24">IF($G$33="ja",$E$33,0)</f>
        <v>-15</v>
      </c>
      <c r="X35" s="338">
        <f t="shared" si="5"/>
        <v>0</v>
      </c>
      <c r="Y35">
        <f t="shared" si="6"/>
        <v>0.05</v>
      </c>
      <c r="Z35" s="328">
        <f t="shared" si="7"/>
        <v>0.05</v>
      </c>
      <c r="AA35" s="328"/>
      <c r="AB35" s="343">
        <v>33</v>
      </c>
      <c r="AC35">
        <f>SUM(Z3:Z35)</f>
        <v>21.650000000000016</v>
      </c>
      <c r="AE35" s="341">
        <f t="shared" si="8"/>
        <v>0</v>
      </c>
      <c r="AF35" s="341">
        <f t="shared" si="9"/>
        <v>0</v>
      </c>
      <c r="AG35" s="341">
        <f t="shared" si="10"/>
        <v>0</v>
      </c>
      <c r="AH35" s="341">
        <f t="shared" si="11"/>
        <v>0</v>
      </c>
      <c r="AI35" s="341">
        <f t="shared" si="12"/>
        <v>0</v>
      </c>
      <c r="AJ35" s="341">
        <f t="shared" si="13"/>
        <v>0</v>
      </c>
      <c r="AK35" s="341">
        <f t="shared" si="14"/>
        <v>0</v>
      </c>
      <c r="AL35" s="341">
        <f t="shared" si="15"/>
        <v>0</v>
      </c>
      <c r="AM35" s="341">
        <f t="shared" si="16"/>
        <v>0</v>
      </c>
      <c r="AN35" s="341">
        <f t="shared" si="17"/>
        <v>0</v>
      </c>
      <c r="AO35" s="341">
        <f t="shared" si="18"/>
        <v>0</v>
      </c>
      <c r="AP35" s="341">
        <f t="shared" si="19"/>
        <v>0</v>
      </c>
    </row>
    <row r="36" spans="1:42" x14ac:dyDescent="0.15">
      <c r="C36" s="255" t="s">
        <v>103</v>
      </c>
      <c r="D36" s="255" t="s">
        <v>105</v>
      </c>
      <c r="E36" s="255" t="s">
        <v>106</v>
      </c>
      <c r="F36" s="255" t="s">
        <v>107</v>
      </c>
      <c r="G36" s="228"/>
      <c r="J36" s="252">
        <v>34</v>
      </c>
      <c r="K36" s="253">
        <f t="shared" si="20"/>
        <v>-315</v>
      </c>
      <c r="L36" s="253">
        <f t="shared" si="21"/>
        <v>0</v>
      </c>
      <c r="M36" s="253">
        <f t="shared" si="22"/>
        <v>0</v>
      </c>
      <c r="N36" s="253">
        <f>IF($G$24="ja",$E$24,0)</f>
        <v>-300</v>
      </c>
      <c r="O36" s="251"/>
      <c r="P36" s="251"/>
      <c r="Q36" s="251"/>
      <c r="R36" s="251"/>
      <c r="S36" s="251"/>
      <c r="T36" s="251"/>
      <c r="U36" s="251"/>
      <c r="V36" s="253">
        <f t="shared" si="23"/>
        <v>0</v>
      </c>
      <c r="W36" s="253">
        <f t="shared" si="24"/>
        <v>-15</v>
      </c>
      <c r="X36" s="338">
        <f t="shared" si="5"/>
        <v>1</v>
      </c>
      <c r="Y36">
        <f t="shared" si="6"/>
        <v>0.05</v>
      </c>
      <c r="Z36" s="328">
        <f t="shared" si="7"/>
        <v>1.05</v>
      </c>
      <c r="AA36" s="328"/>
      <c r="AB36" s="343">
        <v>34</v>
      </c>
      <c r="AC36">
        <f>SUM(Z3:Z36)</f>
        <v>22.700000000000017</v>
      </c>
      <c r="AE36" s="341">
        <f t="shared" si="8"/>
        <v>0</v>
      </c>
      <c r="AF36" s="341">
        <f t="shared" si="9"/>
        <v>0</v>
      </c>
      <c r="AG36" s="341">
        <f t="shared" si="10"/>
        <v>1</v>
      </c>
      <c r="AH36" s="341">
        <f t="shared" si="11"/>
        <v>0</v>
      </c>
      <c r="AI36" s="341">
        <f t="shared" si="12"/>
        <v>0</v>
      </c>
      <c r="AJ36" s="341">
        <f t="shared" si="13"/>
        <v>0</v>
      </c>
      <c r="AK36" s="341">
        <f t="shared" si="14"/>
        <v>0</v>
      </c>
      <c r="AL36" s="341">
        <f t="shared" si="15"/>
        <v>0</v>
      </c>
      <c r="AM36" s="341">
        <f t="shared" si="16"/>
        <v>0</v>
      </c>
      <c r="AN36" s="341">
        <f t="shared" si="17"/>
        <v>0</v>
      </c>
      <c r="AO36" s="341">
        <f t="shared" si="18"/>
        <v>0</v>
      </c>
      <c r="AP36" s="341">
        <f t="shared" si="19"/>
        <v>1</v>
      </c>
    </row>
    <row r="37" spans="1:42" x14ac:dyDescent="0.15">
      <c r="A37" s="254" t="s">
        <v>93</v>
      </c>
      <c r="C37" s="256" t="s">
        <v>90</v>
      </c>
      <c r="D37" s="228" t="str">
        <f>'Overzicht en kosten'!O13</f>
        <v>Ja</v>
      </c>
      <c r="E37" s="228">
        <f>IF(D37="ja",2,2)</f>
        <v>2</v>
      </c>
      <c r="F37" s="228"/>
      <c r="G37" s="228"/>
      <c r="J37" s="252">
        <v>35</v>
      </c>
      <c r="K37" s="253">
        <f t="shared" si="20"/>
        <v>-15</v>
      </c>
      <c r="L37" s="253">
        <f t="shared" si="21"/>
        <v>0</v>
      </c>
      <c r="M37" s="253">
        <f t="shared" si="22"/>
        <v>0</v>
      </c>
      <c r="N37" s="251"/>
      <c r="O37" s="251"/>
      <c r="P37" s="251"/>
      <c r="Q37" s="251"/>
      <c r="R37" s="251"/>
      <c r="S37" s="251"/>
      <c r="T37" s="251"/>
      <c r="U37" s="251"/>
      <c r="V37" s="253">
        <f t="shared" si="23"/>
        <v>0</v>
      </c>
      <c r="W37" s="253">
        <f t="shared" si="24"/>
        <v>-15</v>
      </c>
      <c r="X37" s="338">
        <f t="shared" si="5"/>
        <v>0</v>
      </c>
      <c r="Y37">
        <f t="shared" si="6"/>
        <v>0.05</v>
      </c>
      <c r="Z37" s="328">
        <f t="shared" si="7"/>
        <v>0.05</v>
      </c>
      <c r="AA37" s="328"/>
      <c r="AB37" s="343">
        <v>35</v>
      </c>
      <c r="AC37">
        <f>SUM(Z3:Z37)</f>
        <v>22.750000000000018</v>
      </c>
      <c r="AE37" s="341">
        <f t="shared" si="8"/>
        <v>0</v>
      </c>
      <c r="AF37" s="341">
        <f t="shared" si="9"/>
        <v>0</v>
      </c>
      <c r="AG37" s="341">
        <f t="shared" si="10"/>
        <v>0</v>
      </c>
      <c r="AH37" s="341">
        <f t="shared" si="11"/>
        <v>0</v>
      </c>
      <c r="AI37" s="341">
        <f t="shared" si="12"/>
        <v>0</v>
      </c>
      <c r="AJ37" s="341">
        <f t="shared" si="13"/>
        <v>0</v>
      </c>
      <c r="AK37" s="341">
        <f t="shared" si="14"/>
        <v>0</v>
      </c>
      <c r="AL37" s="341">
        <f t="shared" si="15"/>
        <v>0</v>
      </c>
      <c r="AM37" s="341">
        <f t="shared" si="16"/>
        <v>0</v>
      </c>
      <c r="AN37" s="341">
        <f t="shared" si="17"/>
        <v>0</v>
      </c>
      <c r="AO37" s="341">
        <f t="shared" si="18"/>
        <v>0</v>
      </c>
      <c r="AP37" s="341">
        <f t="shared" si="19"/>
        <v>0</v>
      </c>
    </row>
    <row r="38" spans="1:42" x14ac:dyDescent="0.15">
      <c r="A38" s="331" t="s">
        <v>79</v>
      </c>
      <c r="C38" s="256" t="s">
        <v>88</v>
      </c>
      <c r="D38" s="228" t="str">
        <f>'Overzicht en kosten'!O15</f>
        <v>Ja</v>
      </c>
      <c r="E38" s="228">
        <f>IF(D38="ja",1,0)</f>
        <v>1</v>
      </c>
      <c r="F38" s="228"/>
      <c r="G38" s="228"/>
      <c r="J38" s="252">
        <v>36</v>
      </c>
      <c r="K38" s="253">
        <f t="shared" si="20"/>
        <v>-315</v>
      </c>
      <c r="L38" s="253">
        <f t="shared" si="21"/>
        <v>0</v>
      </c>
      <c r="M38" s="253">
        <f t="shared" si="22"/>
        <v>0</v>
      </c>
      <c r="N38" s="251"/>
      <c r="O38" s="251"/>
      <c r="P38" s="251"/>
      <c r="Q38" s="251"/>
      <c r="R38" s="253">
        <f>IF($G$28="ja",$E$28,0)</f>
        <v>-300</v>
      </c>
      <c r="S38" s="251"/>
      <c r="T38" s="251"/>
      <c r="U38" s="251"/>
      <c r="V38" s="253">
        <f t="shared" si="23"/>
        <v>0</v>
      </c>
      <c r="W38" s="253">
        <f t="shared" si="24"/>
        <v>-15</v>
      </c>
      <c r="X38" s="338">
        <f t="shared" si="5"/>
        <v>1</v>
      </c>
      <c r="Y38">
        <f t="shared" si="6"/>
        <v>0.05</v>
      </c>
      <c r="Z38" s="328">
        <f t="shared" si="7"/>
        <v>1.05</v>
      </c>
      <c r="AA38" s="328"/>
      <c r="AB38" s="343">
        <v>36</v>
      </c>
      <c r="AC38">
        <f>SUM(Z3:Z38)</f>
        <v>23.800000000000018</v>
      </c>
      <c r="AE38" s="341">
        <f t="shared" si="8"/>
        <v>0</v>
      </c>
      <c r="AF38" s="341">
        <f t="shared" si="9"/>
        <v>0</v>
      </c>
      <c r="AG38" s="341">
        <f t="shared" si="10"/>
        <v>0</v>
      </c>
      <c r="AH38" s="341">
        <f t="shared" si="11"/>
        <v>0</v>
      </c>
      <c r="AI38" s="341">
        <f t="shared" si="12"/>
        <v>0</v>
      </c>
      <c r="AJ38" s="341">
        <f t="shared" si="13"/>
        <v>0</v>
      </c>
      <c r="AK38" s="341">
        <f t="shared" si="14"/>
        <v>1</v>
      </c>
      <c r="AL38" s="341">
        <f t="shared" si="15"/>
        <v>0</v>
      </c>
      <c r="AM38" s="341">
        <f t="shared" si="16"/>
        <v>0</v>
      </c>
      <c r="AN38" s="341">
        <f t="shared" si="17"/>
        <v>0</v>
      </c>
      <c r="AO38" s="341">
        <f t="shared" si="18"/>
        <v>0</v>
      </c>
      <c r="AP38" s="341">
        <f t="shared" si="19"/>
        <v>1</v>
      </c>
    </row>
    <row r="39" spans="1:42" x14ac:dyDescent="0.15">
      <c r="A39" s="331" t="s">
        <v>80</v>
      </c>
      <c r="C39" s="256" t="s">
        <v>89</v>
      </c>
      <c r="D39" s="228" t="str">
        <f>'Overzicht en kosten'!O19</f>
        <v>Ja</v>
      </c>
      <c r="E39" s="228">
        <f>IF(D39="ja",1,0)</f>
        <v>1</v>
      </c>
      <c r="F39" s="228"/>
      <c r="G39" s="228"/>
      <c r="J39" s="252">
        <v>37</v>
      </c>
      <c r="K39" s="253">
        <f t="shared" si="20"/>
        <v>-315</v>
      </c>
      <c r="L39" s="253">
        <f t="shared" si="21"/>
        <v>0</v>
      </c>
      <c r="M39" s="253">
        <f t="shared" si="22"/>
        <v>0</v>
      </c>
      <c r="N39" s="251"/>
      <c r="O39" s="251"/>
      <c r="P39" s="253">
        <f>IF($G$26="ja",$E$26,0)</f>
        <v>-300</v>
      </c>
      <c r="Q39" s="251"/>
      <c r="R39" s="251"/>
      <c r="S39" s="251"/>
      <c r="T39" s="251"/>
      <c r="U39" s="251"/>
      <c r="V39" s="253">
        <f t="shared" si="23"/>
        <v>0</v>
      </c>
      <c r="W39" s="253">
        <f t="shared" si="24"/>
        <v>-15</v>
      </c>
      <c r="X39" s="338">
        <f t="shared" si="5"/>
        <v>1</v>
      </c>
      <c r="Y39">
        <f t="shared" si="6"/>
        <v>0.05</v>
      </c>
      <c r="Z39" s="328">
        <f t="shared" si="7"/>
        <v>1.05</v>
      </c>
      <c r="AA39" s="328"/>
      <c r="AB39" s="343">
        <v>37</v>
      </c>
      <c r="AC39">
        <f>SUM(Z3:Z39)</f>
        <v>24.850000000000019</v>
      </c>
      <c r="AE39" s="341">
        <f t="shared" si="8"/>
        <v>0</v>
      </c>
      <c r="AF39" s="341">
        <f t="shared" si="9"/>
        <v>0</v>
      </c>
      <c r="AG39" s="341">
        <f t="shared" si="10"/>
        <v>0</v>
      </c>
      <c r="AH39" s="341">
        <f t="shared" si="11"/>
        <v>0</v>
      </c>
      <c r="AI39" s="341">
        <f t="shared" si="12"/>
        <v>1</v>
      </c>
      <c r="AJ39" s="341">
        <f t="shared" si="13"/>
        <v>0</v>
      </c>
      <c r="AK39" s="341">
        <f t="shared" si="14"/>
        <v>0</v>
      </c>
      <c r="AL39" s="341">
        <f t="shared" si="15"/>
        <v>0</v>
      </c>
      <c r="AM39" s="341">
        <f t="shared" si="16"/>
        <v>0</v>
      </c>
      <c r="AN39" s="341">
        <f t="shared" si="17"/>
        <v>0</v>
      </c>
      <c r="AO39" s="341">
        <f t="shared" si="18"/>
        <v>0</v>
      </c>
      <c r="AP39" s="341">
        <f t="shared" si="19"/>
        <v>1</v>
      </c>
    </row>
    <row r="40" spans="1:42" x14ac:dyDescent="0.15">
      <c r="C40" s="256" t="s">
        <v>96</v>
      </c>
      <c r="D40" s="228" t="str">
        <f>'Overzicht en kosten'!O21</f>
        <v>Ja</v>
      </c>
      <c r="E40" s="228">
        <f>IF(D40="ja",1,0)</f>
        <v>1</v>
      </c>
      <c r="F40" s="228"/>
      <c r="G40" s="228"/>
      <c r="J40" s="252">
        <v>38</v>
      </c>
      <c r="K40" s="253">
        <f t="shared" si="20"/>
        <v>-315</v>
      </c>
      <c r="L40" s="253">
        <f t="shared" si="21"/>
        <v>0</v>
      </c>
      <c r="M40" s="253">
        <f t="shared" si="22"/>
        <v>0</v>
      </c>
      <c r="N40" s="253">
        <f>IF($G$24="ja",$E$24,0)</f>
        <v>-300</v>
      </c>
      <c r="O40" s="251"/>
      <c r="P40" s="251"/>
      <c r="Q40" s="251"/>
      <c r="R40" s="251"/>
      <c r="S40" s="251"/>
      <c r="T40" s="251"/>
      <c r="U40" s="251"/>
      <c r="V40" s="253">
        <f t="shared" si="23"/>
        <v>0</v>
      </c>
      <c r="W40" s="253">
        <f t="shared" si="24"/>
        <v>-15</v>
      </c>
      <c r="X40" s="338">
        <f t="shared" si="5"/>
        <v>1</v>
      </c>
      <c r="Y40">
        <f t="shared" si="6"/>
        <v>0.05</v>
      </c>
      <c r="Z40" s="328">
        <f t="shared" si="7"/>
        <v>1.05</v>
      </c>
      <c r="AA40" s="328"/>
      <c r="AB40" s="343">
        <v>38</v>
      </c>
      <c r="AC40">
        <f>SUM(Z3:Z40)</f>
        <v>25.90000000000002</v>
      </c>
      <c r="AE40" s="341">
        <f t="shared" si="8"/>
        <v>0</v>
      </c>
      <c r="AF40" s="341">
        <f t="shared" si="9"/>
        <v>0</v>
      </c>
      <c r="AG40" s="341">
        <f t="shared" si="10"/>
        <v>1</v>
      </c>
      <c r="AH40" s="341">
        <f t="shared" si="11"/>
        <v>0</v>
      </c>
      <c r="AI40" s="341">
        <f t="shared" si="12"/>
        <v>0</v>
      </c>
      <c r="AJ40" s="341">
        <f t="shared" si="13"/>
        <v>0</v>
      </c>
      <c r="AK40" s="341">
        <f t="shared" si="14"/>
        <v>0</v>
      </c>
      <c r="AL40" s="341">
        <f t="shared" si="15"/>
        <v>0</v>
      </c>
      <c r="AM40" s="341">
        <f t="shared" si="16"/>
        <v>0</v>
      </c>
      <c r="AN40" s="341">
        <f t="shared" si="17"/>
        <v>0</v>
      </c>
      <c r="AO40" s="341">
        <f t="shared" si="18"/>
        <v>0</v>
      </c>
      <c r="AP40" s="341">
        <f t="shared" si="19"/>
        <v>1</v>
      </c>
    </row>
    <row r="41" spans="1:42" x14ac:dyDescent="0.15">
      <c r="A41" s="334" t="s">
        <v>224</v>
      </c>
      <c r="C41" s="256" t="s">
        <v>127</v>
      </c>
      <c r="D41" s="228"/>
      <c r="E41" s="257">
        <f>SUM(E37:E40)</f>
        <v>5</v>
      </c>
      <c r="F41" s="228"/>
      <c r="G41" s="228"/>
      <c r="J41" s="252">
        <v>39</v>
      </c>
      <c r="K41" s="253">
        <f t="shared" si="20"/>
        <v>-15</v>
      </c>
      <c r="L41" s="253">
        <f t="shared" si="21"/>
        <v>0</v>
      </c>
      <c r="M41" s="253">
        <f t="shared" si="22"/>
        <v>0</v>
      </c>
      <c r="N41" s="251"/>
      <c r="O41" s="251"/>
      <c r="P41" s="251"/>
      <c r="Q41" s="251"/>
      <c r="R41" s="251"/>
      <c r="S41" s="251"/>
      <c r="T41" s="251"/>
      <c r="U41" s="251"/>
      <c r="V41" s="253">
        <f t="shared" si="23"/>
        <v>0</v>
      </c>
      <c r="W41" s="253">
        <f t="shared" si="24"/>
        <v>-15</v>
      </c>
      <c r="X41" s="338">
        <f t="shared" si="5"/>
        <v>0</v>
      </c>
      <c r="Y41">
        <f t="shared" si="6"/>
        <v>0.05</v>
      </c>
      <c r="Z41" s="328">
        <f t="shared" si="7"/>
        <v>0.05</v>
      </c>
      <c r="AA41" s="328"/>
      <c r="AB41" s="343">
        <v>39</v>
      </c>
      <c r="AC41">
        <f>SUM(Z3:Z41)</f>
        <v>25.950000000000021</v>
      </c>
      <c r="AE41" s="341">
        <f t="shared" si="8"/>
        <v>0</v>
      </c>
      <c r="AF41" s="341">
        <f t="shared" si="9"/>
        <v>0</v>
      </c>
      <c r="AG41" s="341">
        <f t="shared" si="10"/>
        <v>0</v>
      </c>
      <c r="AH41" s="341">
        <f t="shared" si="11"/>
        <v>0</v>
      </c>
      <c r="AI41" s="341">
        <f t="shared" si="12"/>
        <v>0</v>
      </c>
      <c r="AJ41" s="341">
        <f t="shared" si="13"/>
        <v>0</v>
      </c>
      <c r="AK41" s="341">
        <f t="shared" si="14"/>
        <v>0</v>
      </c>
      <c r="AL41" s="341">
        <f t="shared" si="15"/>
        <v>0</v>
      </c>
      <c r="AM41" s="341">
        <f t="shared" si="16"/>
        <v>0</v>
      </c>
      <c r="AN41" s="341">
        <f t="shared" si="17"/>
        <v>0</v>
      </c>
      <c r="AO41" s="341">
        <f t="shared" si="18"/>
        <v>0</v>
      </c>
      <c r="AP41" s="341">
        <f t="shared" si="19"/>
        <v>0</v>
      </c>
    </row>
    <row r="42" spans="1:42" ht="11" customHeight="1" x14ac:dyDescent="0.15">
      <c r="A42" s="335">
        <f>'Overzicht en kosten'!G37/100</f>
        <v>4.8000000000000001E-2</v>
      </c>
      <c r="C42" s="256" t="s">
        <v>128</v>
      </c>
      <c r="D42" s="228"/>
      <c r="E42" s="228">
        <f>IF(E41&gt;=3,2,E41)</f>
        <v>2</v>
      </c>
      <c r="F42" s="257"/>
      <c r="G42" s="228"/>
      <c r="J42" s="252">
        <v>40</v>
      </c>
      <c r="K42" s="253">
        <f t="shared" si="20"/>
        <v>-15</v>
      </c>
      <c r="L42" s="253">
        <f t="shared" si="21"/>
        <v>0</v>
      </c>
      <c r="M42" s="253">
        <f t="shared" si="22"/>
        <v>0</v>
      </c>
      <c r="N42" s="251"/>
      <c r="O42" s="251"/>
      <c r="P42" s="251"/>
      <c r="Q42" s="251"/>
      <c r="R42" s="251"/>
      <c r="S42" s="251"/>
      <c r="T42" s="251"/>
      <c r="U42" s="251"/>
      <c r="V42" s="253">
        <f t="shared" si="23"/>
        <v>0</v>
      </c>
      <c r="W42" s="253">
        <f t="shared" si="24"/>
        <v>-15</v>
      </c>
      <c r="X42" s="338">
        <f t="shared" si="5"/>
        <v>0</v>
      </c>
      <c r="Y42">
        <f t="shared" si="6"/>
        <v>0.05</v>
      </c>
      <c r="Z42" s="328">
        <f t="shared" si="7"/>
        <v>0.05</v>
      </c>
      <c r="AA42" s="328"/>
      <c r="AB42" s="343">
        <v>40</v>
      </c>
      <c r="AC42">
        <f>SUM(Z3:Z42)</f>
        <v>26.000000000000021</v>
      </c>
      <c r="AE42" s="341">
        <f t="shared" si="8"/>
        <v>0</v>
      </c>
      <c r="AF42" s="341">
        <f t="shared" si="9"/>
        <v>0</v>
      </c>
      <c r="AG42" s="341">
        <f t="shared" si="10"/>
        <v>0</v>
      </c>
      <c r="AH42" s="341">
        <f t="shared" si="11"/>
        <v>0</v>
      </c>
      <c r="AI42" s="341">
        <f t="shared" si="12"/>
        <v>0</v>
      </c>
      <c r="AJ42" s="341">
        <f t="shared" si="13"/>
        <v>0</v>
      </c>
      <c r="AK42" s="341">
        <f t="shared" si="14"/>
        <v>0</v>
      </c>
      <c r="AL42" s="341">
        <f t="shared" si="15"/>
        <v>0</v>
      </c>
      <c r="AM42" s="341">
        <f t="shared" si="16"/>
        <v>0</v>
      </c>
      <c r="AN42" s="341">
        <f t="shared" si="17"/>
        <v>0</v>
      </c>
      <c r="AO42" s="341">
        <f t="shared" si="18"/>
        <v>0</v>
      </c>
      <c r="AP42" s="341">
        <f t="shared" si="19"/>
        <v>0</v>
      </c>
    </row>
    <row r="43" spans="1:42" x14ac:dyDescent="0.15">
      <c r="C43" s="256" t="s">
        <v>129</v>
      </c>
      <c r="D43" s="228" t="str">
        <f>'Overzicht en kosten'!O17</f>
        <v>Nee</v>
      </c>
      <c r="E43" s="255">
        <f>IF(D43="ja",1,0)</f>
        <v>0</v>
      </c>
      <c r="F43" s="228"/>
      <c r="G43" s="228"/>
      <c r="J43" s="252">
        <v>41</v>
      </c>
      <c r="K43" s="253">
        <f t="shared" si="20"/>
        <v>-15</v>
      </c>
      <c r="L43" s="253">
        <f t="shared" si="21"/>
        <v>0</v>
      </c>
      <c r="M43" s="253">
        <f t="shared" si="22"/>
        <v>0</v>
      </c>
      <c r="N43" s="251"/>
      <c r="O43" s="251"/>
      <c r="P43" s="251"/>
      <c r="Q43" s="251"/>
      <c r="R43" s="251"/>
      <c r="S43" s="251"/>
      <c r="T43" s="251"/>
      <c r="U43" s="253"/>
      <c r="V43" s="253">
        <f t="shared" si="23"/>
        <v>0</v>
      </c>
      <c r="W43" s="253">
        <f t="shared" si="24"/>
        <v>-15</v>
      </c>
      <c r="X43" s="338">
        <f t="shared" si="5"/>
        <v>0</v>
      </c>
      <c r="Y43">
        <f t="shared" si="6"/>
        <v>0.05</v>
      </c>
      <c r="Z43" s="328">
        <f t="shared" si="7"/>
        <v>0.05</v>
      </c>
      <c r="AA43" s="328"/>
      <c r="AB43" s="343">
        <v>41</v>
      </c>
      <c r="AC43">
        <f>SUM(Z3:Z43)</f>
        <v>26.050000000000022</v>
      </c>
      <c r="AE43" s="341">
        <f t="shared" si="8"/>
        <v>0</v>
      </c>
      <c r="AF43" s="341">
        <f t="shared" si="9"/>
        <v>0</v>
      </c>
      <c r="AG43" s="341">
        <f t="shared" si="10"/>
        <v>0</v>
      </c>
      <c r="AH43" s="341">
        <f t="shared" si="11"/>
        <v>0</v>
      </c>
      <c r="AI43" s="341">
        <f t="shared" si="12"/>
        <v>0</v>
      </c>
      <c r="AJ43" s="341">
        <f t="shared" si="13"/>
        <v>0</v>
      </c>
      <c r="AK43" s="341">
        <f t="shared" si="14"/>
        <v>0</v>
      </c>
      <c r="AL43" s="341">
        <f t="shared" si="15"/>
        <v>0</v>
      </c>
      <c r="AM43" s="341">
        <f t="shared" si="16"/>
        <v>0</v>
      </c>
      <c r="AN43" s="341">
        <f t="shared" si="17"/>
        <v>0</v>
      </c>
      <c r="AO43" s="341">
        <f t="shared" si="18"/>
        <v>0</v>
      </c>
      <c r="AP43" s="341">
        <f t="shared" si="19"/>
        <v>0</v>
      </c>
    </row>
    <row r="44" spans="1:42" x14ac:dyDescent="0.15">
      <c r="A44" s="254" t="s">
        <v>223</v>
      </c>
      <c r="C44" s="228"/>
      <c r="D44" s="255"/>
      <c r="E44" s="228"/>
      <c r="F44" s="228"/>
      <c r="G44" s="228"/>
      <c r="J44" s="252">
        <v>42</v>
      </c>
      <c r="K44" s="253">
        <f t="shared" si="20"/>
        <v>-315</v>
      </c>
      <c r="L44" s="253">
        <f t="shared" si="21"/>
        <v>0</v>
      </c>
      <c r="M44" s="253">
        <f t="shared" si="22"/>
        <v>0</v>
      </c>
      <c r="N44" s="253">
        <f>IF($G$24="ja",$E$24,0)</f>
        <v>-300</v>
      </c>
      <c r="O44" s="251"/>
      <c r="P44" s="251"/>
      <c r="Q44" s="251"/>
      <c r="R44" s="251"/>
      <c r="S44" s="251"/>
      <c r="T44" s="251"/>
      <c r="U44" s="251"/>
      <c r="V44" s="253">
        <f t="shared" si="23"/>
        <v>0</v>
      </c>
      <c r="W44" s="253">
        <f t="shared" si="24"/>
        <v>-15</v>
      </c>
      <c r="X44" s="338">
        <f t="shared" si="5"/>
        <v>1</v>
      </c>
      <c r="Y44">
        <f t="shared" si="6"/>
        <v>0.05</v>
      </c>
      <c r="Z44" s="328">
        <f t="shared" si="7"/>
        <v>1.05</v>
      </c>
      <c r="AA44" s="328"/>
      <c r="AB44" s="343">
        <v>42</v>
      </c>
      <c r="AC44">
        <f>SUM(Z3:Z42)</f>
        <v>26.000000000000021</v>
      </c>
      <c r="AE44" s="341">
        <f t="shared" si="8"/>
        <v>0</v>
      </c>
      <c r="AF44" s="341">
        <f t="shared" si="9"/>
        <v>0</v>
      </c>
      <c r="AG44" s="341">
        <f t="shared" si="10"/>
        <v>1</v>
      </c>
      <c r="AH44" s="341">
        <f t="shared" si="11"/>
        <v>0</v>
      </c>
      <c r="AI44" s="341">
        <f t="shared" si="12"/>
        <v>0</v>
      </c>
      <c r="AJ44" s="341">
        <f t="shared" si="13"/>
        <v>0</v>
      </c>
      <c r="AK44" s="341">
        <f t="shared" si="14"/>
        <v>0</v>
      </c>
      <c r="AL44" s="341">
        <f t="shared" si="15"/>
        <v>0</v>
      </c>
      <c r="AM44" s="341">
        <f t="shared" si="16"/>
        <v>0</v>
      </c>
      <c r="AN44" s="341">
        <f t="shared" si="17"/>
        <v>0</v>
      </c>
      <c r="AO44" s="341">
        <f t="shared" si="18"/>
        <v>0</v>
      </c>
      <c r="AP44" s="341">
        <f t="shared" si="19"/>
        <v>1</v>
      </c>
    </row>
    <row r="45" spans="1:42" x14ac:dyDescent="0.15">
      <c r="A45" s="332">
        <v>1</v>
      </c>
      <c r="C45" s="258" t="s">
        <v>108</v>
      </c>
      <c r="D45" s="228"/>
      <c r="E45" s="255">
        <f>E42+E43</f>
        <v>2</v>
      </c>
      <c r="F45" s="228"/>
      <c r="G45" s="228"/>
      <c r="J45" s="252">
        <v>43</v>
      </c>
      <c r="K45" s="253">
        <f t="shared" si="20"/>
        <v>-615</v>
      </c>
      <c r="L45" s="253">
        <f t="shared" si="21"/>
        <v>0</v>
      </c>
      <c r="M45" s="253">
        <f t="shared" si="22"/>
        <v>0</v>
      </c>
      <c r="N45" s="251"/>
      <c r="O45" s="251"/>
      <c r="P45" s="251"/>
      <c r="Q45" s="251"/>
      <c r="R45" s="251"/>
      <c r="S45" s="253">
        <f>IF($G$29="ja",$E$29,0)</f>
        <v>0</v>
      </c>
      <c r="T45" s="251"/>
      <c r="U45" s="253">
        <f>IF($G$31="ja",$E$31,0)</f>
        <v>-600</v>
      </c>
      <c r="V45" s="253">
        <f t="shared" si="23"/>
        <v>0</v>
      </c>
      <c r="W45" s="253">
        <f t="shared" si="24"/>
        <v>-15</v>
      </c>
      <c r="X45" s="338">
        <f t="shared" si="5"/>
        <v>1</v>
      </c>
      <c r="Y45">
        <f t="shared" si="6"/>
        <v>0.05</v>
      </c>
      <c r="Z45" s="328">
        <f t="shared" si="7"/>
        <v>1.05</v>
      </c>
      <c r="AA45" s="328"/>
      <c r="AB45" s="343">
        <v>43</v>
      </c>
      <c r="AC45">
        <f>SUM(Z3:Z45)</f>
        <v>28.150000000000023</v>
      </c>
      <c r="AE45" s="341">
        <f t="shared" si="8"/>
        <v>0</v>
      </c>
      <c r="AF45" s="341">
        <f t="shared" si="9"/>
        <v>0</v>
      </c>
      <c r="AG45" s="341">
        <f t="shared" si="10"/>
        <v>0</v>
      </c>
      <c r="AH45" s="341">
        <f t="shared" si="11"/>
        <v>0</v>
      </c>
      <c r="AI45" s="341">
        <f t="shared" si="12"/>
        <v>0</v>
      </c>
      <c r="AJ45" s="341">
        <f t="shared" si="13"/>
        <v>0</v>
      </c>
      <c r="AK45" s="341">
        <f t="shared" si="14"/>
        <v>0</v>
      </c>
      <c r="AL45" s="341">
        <f t="shared" si="15"/>
        <v>0</v>
      </c>
      <c r="AM45" s="341">
        <f t="shared" si="16"/>
        <v>0</v>
      </c>
      <c r="AN45" s="341">
        <f t="shared" si="17"/>
        <v>1</v>
      </c>
      <c r="AO45" s="341">
        <f t="shared" si="18"/>
        <v>0</v>
      </c>
      <c r="AP45" s="341">
        <f t="shared" si="19"/>
        <v>1</v>
      </c>
    </row>
    <row r="46" spans="1:42" x14ac:dyDescent="0.15">
      <c r="A46" s="332">
        <v>2</v>
      </c>
      <c r="C46" s="258" t="s">
        <v>146</v>
      </c>
      <c r="D46" s="228"/>
      <c r="E46" s="259">
        <f>E4*E45</f>
        <v>-1390</v>
      </c>
      <c r="F46" s="228"/>
      <c r="G46" s="228"/>
      <c r="J46" s="252">
        <v>44</v>
      </c>
      <c r="K46" s="253">
        <f t="shared" si="20"/>
        <v>-315</v>
      </c>
      <c r="L46" s="253">
        <f t="shared" si="21"/>
        <v>0</v>
      </c>
      <c r="M46" s="253">
        <f t="shared" si="22"/>
        <v>0</v>
      </c>
      <c r="N46" s="251"/>
      <c r="O46" s="251"/>
      <c r="P46" s="251"/>
      <c r="Q46" s="251"/>
      <c r="R46" s="253">
        <f>IF($G$28="ja",$E$28,0)</f>
        <v>-300</v>
      </c>
      <c r="S46" s="251"/>
      <c r="T46" s="253"/>
      <c r="U46" s="251"/>
      <c r="V46" s="253">
        <f t="shared" si="23"/>
        <v>0</v>
      </c>
      <c r="W46" s="253">
        <f t="shared" si="24"/>
        <v>-15</v>
      </c>
      <c r="X46" s="338">
        <f t="shared" si="5"/>
        <v>1</v>
      </c>
      <c r="Y46">
        <f t="shared" si="6"/>
        <v>0.05</v>
      </c>
      <c r="Z46" s="328">
        <f t="shared" si="7"/>
        <v>1.05</v>
      </c>
      <c r="AA46" s="328"/>
      <c r="AB46" s="343">
        <v>44</v>
      </c>
      <c r="AC46">
        <f>SUM(Z3:Z46)</f>
        <v>29.200000000000024</v>
      </c>
      <c r="AE46" s="341">
        <f t="shared" si="8"/>
        <v>0</v>
      </c>
      <c r="AF46" s="341">
        <f t="shared" si="9"/>
        <v>0</v>
      </c>
      <c r="AG46" s="341">
        <f t="shared" si="10"/>
        <v>0</v>
      </c>
      <c r="AH46" s="341">
        <f t="shared" si="11"/>
        <v>0</v>
      </c>
      <c r="AI46" s="341">
        <f t="shared" si="12"/>
        <v>0</v>
      </c>
      <c r="AJ46" s="341">
        <f t="shared" si="13"/>
        <v>0</v>
      </c>
      <c r="AK46" s="341">
        <f t="shared" si="14"/>
        <v>1</v>
      </c>
      <c r="AL46" s="341">
        <f t="shared" si="15"/>
        <v>0</v>
      </c>
      <c r="AM46" s="341">
        <f t="shared" si="16"/>
        <v>0</v>
      </c>
      <c r="AN46" s="341">
        <f t="shared" si="17"/>
        <v>0</v>
      </c>
      <c r="AO46" s="341">
        <f t="shared" si="18"/>
        <v>0</v>
      </c>
      <c r="AP46" s="341">
        <f t="shared" si="19"/>
        <v>1</v>
      </c>
    </row>
    <row r="47" spans="1:42" ht="14" thickBot="1" x14ac:dyDescent="0.2">
      <c r="A47" s="332">
        <v>3</v>
      </c>
      <c r="C47" s="258" t="s">
        <v>145</v>
      </c>
      <c r="D47" s="255"/>
      <c r="E47" s="268">
        <f>C18</f>
        <v>-2.9</v>
      </c>
      <c r="F47" s="269" t="s">
        <v>112</v>
      </c>
      <c r="G47" s="228"/>
      <c r="J47" s="252">
        <v>45</v>
      </c>
      <c r="K47" s="253">
        <f t="shared" si="20"/>
        <v>-315</v>
      </c>
      <c r="L47" s="253">
        <f t="shared" si="21"/>
        <v>0</v>
      </c>
      <c r="M47" s="253">
        <f t="shared" si="22"/>
        <v>0</v>
      </c>
      <c r="N47" s="251"/>
      <c r="O47" s="253">
        <f>IF($G$25="ja",$E$25,0)</f>
        <v>-300</v>
      </c>
      <c r="P47" s="251"/>
      <c r="Q47" s="251"/>
      <c r="R47" s="251"/>
      <c r="S47" s="251"/>
      <c r="T47" s="251"/>
      <c r="U47" s="251"/>
      <c r="V47" s="253">
        <f t="shared" si="23"/>
        <v>0</v>
      </c>
      <c r="W47" s="253">
        <f t="shared" si="24"/>
        <v>-15</v>
      </c>
      <c r="X47" s="338">
        <f t="shared" si="5"/>
        <v>1</v>
      </c>
      <c r="Y47">
        <f t="shared" si="6"/>
        <v>0.05</v>
      </c>
      <c r="Z47" s="328">
        <f t="shared" si="7"/>
        <v>1.05</v>
      </c>
      <c r="AA47" s="328"/>
      <c r="AB47" s="343">
        <v>45</v>
      </c>
      <c r="AC47">
        <f>SUM(Z3:Z47)</f>
        <v>30.250000000000025</v>
      </c>
      <c r="AE47" s="341">
        <f t="shared" si="8"/>
        <v>0</v>
      </c>
      <c r="AF47" s="341">
        <f t="shared" si="9"/>
        <v>0</v>
      </c>
      <c r="AG47" s="341">
        <f t="shared" si="10"/>
        <v>0</v>
      </c>
      <c r="AH47" s="341">
        <f t="shared" si="11"/>
        <v>1</v>
      </c>
      <c r="AI47" s="341">
        <f t="shared" si="12"/>
        <v>0</v>
      </c>
      <c r="AJ47" s="341">
        <f t="shared" si="13"/>
        <v>0</v>
      </c>
      <c r="AK47" s="341">
        <f t="shared" si="14"/>
        <v>0</v>
      </c>
      <c r="AL47" s="341">
        <f t="shared" si="15"/>
        <v>0</v>
      </c>
      <c r="AM47" s="341">
        <f t="shared" si="16"/>
        <v>0</v>
      </c>
      <c r="AN47" s="341">
        <f t="shared" si="17"/>
        <v>0</v>
      </c>
      <c r="AO47" s="341">
        <f t="shared" si="18"/>
        <v>0</v>
      </c>
      <c r="AP47" s="341">
        <f t="shared" si="19"/>
        <v>1</v>
      </c>
    </row>
    <row r="48" spans="1:42" ht="14" thickTop="1" x14ac:dyDescent="0.15">
      <c r="A48" s="332">
        <v>4</v>
      </c>
      <c r="C48" s="228"/>
      <c r="D48" s="228"/>
      <c r="E48" s="228"/>
      <c r="F48" s="228"/>
      <c r="G48" s="228"/>
      <c r="J48" s="252">
        <v>46</v>
      </c>
      <c r="K48" s="253">
        <f t="shared" si="20"/>
        <v>-315</v>
      </c>
      <c r="L48" s="253">
        <f t="shared" si="21"/>
        <v>0</v>
      </c>
      <c r="M48" s="253">
        <f t="shared" si="22"/>
        <v>0</v>
      </c>
      <c r="N48" s="253">
        <f>IF($G$24="ja",$E$24,0)</f>
        <v>-300</v>
      </c>
      <c r="O48" s="251"/>
      <c r="P48" s="251"/>
      <c r="Q48" s="251"/>
      <c r="R48" s="251"/>
      <c r="S48" s="251"/>
      <c r="T48" s="251"/>
      <c r="U48" s="251"/>
      <c r="V48" s="253">
        <f t="shared" si="23"/>
        <v>0</v>
      </c>
      <c r="W48" s="253">
        <f t="shared" si="24"/>
        <v>-15</v>
      </c>
      <c r="X48" s="338">
        <f t="shared" si="5"/>
        <v>1</v>
      </c>
      <c r="Y48">
        <f t="shared" si="6"/>
        <v>0.05</v>
      </c>
      <c r="Z48" s="328">
        <f t="shared" si="7"/>
        <v>1.05</v>
      </c>
      <c r="AA48" s="328"/>
      <c r="AB48" s="343">
        <v>46</v>
      </c>
      <c r="AC48">
        <f>SUM(Z3:Z48)</f>
        <v>31.300000000000026</v>
      </c>
      <c r="AE48" s="341">
        <f t="shared" si="8"/>
        <v>0</v>
      </c>
      <c r="AF48" s="341">
        <f t="shared" si="9"/>
        <v>0</v>
      </c>
      <c r="AG48" s="341">
        <f t="shared" si="10"/>
        <v>1</v>
      </c>
      <c r="AH48" s="341">
        <f t="shared" si="11"/>
        <v>0</v>
      </c>
      <c r="AI48" s="341">
        <f t="shared" si="12"/>
        <v>0</v>
      </c>
      <c r="AJ48" s="341">
        <f t="shared" si="13"/>
        <v>0</v>
      </c>
      <c r="AK48" s="341">
        <f t="shared" si="14"/>
        <v>0</v>
      </c>
      <c r="AL48" s="341">
        <f t="shared" si="15"/>
        <v>0</v>
      </c>
      <c r="AM48" s="341">
        <f t="shared" si="16"/>
        <v>0</v>
      </c>
      <c r="AN48" s="341">
        <f t="shared" si="17"/>
        <v>0</v>
      </c>
      <c r="AO48" s="341">
        <f t="shared" si="18"/>
        <v>0</v>
      </c>
      <c r="AP48" s="341">
        <f t="shared" si="19"/>
        <v>1</v>
      </c>
    </row>
    <row r="49" spans="1:42" x14ac:dyDescent="0.15">
      <c r="A49" s="332">
        <v>5</v>
      </c>
      <c r="C49" s="255" t="s">
        <v>110</v>
      </c>
      <c r="D49" s="228"/>
      <c r="E49" s="259">
        <f>E46+(E47*2)</f>
        <v>-1395.8</v>
      </c>
      <c r="F49" s="255" t="s">
        <v>109</v>
      </c>
      <c r="G49" s="228"/>
      <c r="J49" s="252">
        <v>47</v>
      </c>
      <c r="K49" s="253">
        <f t="shared" si="20"/>
        <v>-15</v>
      </c>
      <c r="L49" s="253">
        <f t="shared" si="21"/>
        <v>0</v>
      </c>
      <c r="M49" s="253">
        <f t="shared" si="22"/>
        <v>0</v>
      </c>
      <c r="N49" s="251"/>
      <c r="O49" s="251"/>
      <c r="P49" s="251"/>
      <c r="Q49" s="251"/>
      <c r="R49" s="251"/>
      <c r="S49" s="251"/>
      <c r="T49" s="251"/>
      <c r="U49" s="251"/>
      <c r="V49" s="253">
        <f t="shared" si="23"/>
        <v>0</v>
      </c>
      <c r="W49" s="253">
        <f t="shared" si="24"/>
        <v>-15</v>
      </c>
      <c r="X49" s="338">
        <f t="shared" si="5"/>
        <v>0</v>
      </c>
      <c r="Y49">
        <f t="shared" si="6"/>
        <v>0.05</v>
      </c>
      <c r="Z49" s="328">
        <f t="shared" si="7"/>
        <v>0.05</v>
      </c>
      <c r="AA49" s="328"/>
      <c r="AB49" s="343">
        <v>47</v>
      </c>
      <c r="AC49">
        <f>SUM(Z3:Z49)</f>
        <v>31.350000000000026</v>
      </c>
      <c r="AE49" s="341">
        <f t="shared" si="8"/>
        <v>0</v>
      </c>
      <c r="AF49" s="341">
        <f t="shared" si="9"/>
        <v>0</v>
      </c>
      <c r="AG49" s="341">
        <f t="shared" si="10"/>
        <v>0</v>
      </c>
      <c r="AH49" s="341">
        <f t="shared" si="11"/>
        <v>0</v>
      </c>
      <c r="AI49" s="341">
        <f t="shared" si="12"/>
        <v>0</v>
      </c>
      <c r="AJ49" s="341">
        <f t="shared" si="13"/>
        <v>0</v>
      </c>
      <c r="AK49" s="341">
        <f t="shared" si="14"/>
        <v>0</v>
      </c>
      <c r="AL49" s="341">
        <f t="shared" si="15"/>
        <v>0</v>
      </c>
      <c r="AM49" s="341">
        <f t="shared" si="16"/>
        <v>0</v>
      </c>
      <c r="AN49" s="341">
        <f t="shared" si="17"/>
        <v>0</v>
      </c>
      <c r="AO49" s="341">
        <f t="shared" si="18"/>
        <v>0</v>
      </c>
      <c r="AP49" s="341">
        <f t="shared" si="19"/>
        <v>0</v>
      </c>
    </row>
    <row r="50" spans="1:42" x14ac:dyDescent="0.15">
      <c r="A50" s="332">
        <v>6</v>
      </c>
      <c r="J50" s="252">
        <v>48</v>
      </c>
      <c r="K50" s="253">
        <f t="shared" si="20"/>
        <v>-15</v>
      </c>
      <c r="L50" s="253">
        <f t="shared" si="21"/>
        <v>0</v>
      </c>
      <c r="M50" s="253">
        <f t="shared" si="22"/>
        <v>0</v>
      </c>
      <c r="N50" s="251"/>
      <c r="O50" s="251"/>
      <c r="P50" s="251"/>
      <c r="Q50" s="251"/>
      <c r="R50" s="251"/>
      <c r="S50" s="251"/>
      <c r="T50" s="251"/>
      <c r="U50" s="251"/>
      <c r="V50" s="253">
        <f t="shared" si="23"/>
        <v>0</v>
      </c>
      <c r="W50" s="253">
        <f t="shared" si="24"/>
        <v>-15</v>
      </c>
      <c r="X50" s="338">
        <f t="shared" si="5"/>
        <v>0</v>
      </c>
      <c r="Y50">
        <f t="shared" si="6"/>
        <v>0.05</v>
      </c>
      <c r="Z50" s="328">
        <f t="shared" si="7"/>
        <v>0.05</v>
      </c>
      <c r="AA50" s="328"/>
      <c r="AB50" s="343">
        <v>48</v>
      </c>
      <c r="AC50">
        <f>SUM(Z3:Z50)</f>
        <v>31.400000000000027</v>
      </c>
      <c r="AE50" s="341">
        <f t="shared" si="8"/>
        <v>0</v>
      </c>
      <c r="AF50" s="341">
        <f t="shared" si="9"/>
        <v>0</v>
      </c>
      <c r="AG50" s="341">
        <f t="shared" si="10"/>
        <v>0</v>
      </c>
      <c r="AH50" s="341">
        <f t="shared" si="11"/>
        <v>0</v>
      </c>
      <c r="AI50" s="341">
        <f t="shared" si="12"/>
        <v>0</v>
      </c>
      <c r="AJ50" s="341">
        <f t="shared" si="13"/>
        <v>0</v>
      </c>
      <c r="AK50" s="341">
        <f t="shared" si="14"/>
        <v>0</v>
      </c>
      <c r="AL50" s="341">
        <f t="shared" si="15"/>
        <v>0</v>
      </c>
      <c r="AM50" s="341">
        <f t="shared" si="16"/>
        <v>0</v>
      </c>
      <c r="AN50" s="341">
        <f t="shared" si="17"/>
        <v>0</v>
      </c>
      <c r="AO50" s="341">
        <f t="shared" si="18"/>
        <v>0</v>
      </c>
      <c r="AP50" s="341">
        <f t="shared" si="19"/>
        <v>0</v>
      </c>
    </row>
    <row r="51" spans="1:42" x14ac:dyDescent="0.15">
      <c r="A51" s="332">
        <v>7</v>
      </c>
      <c r="J51" s="252">
        <v>49</v>
      </c>
      <c r="K51" s="253">
        <f t="shared" si="20"/>
        <v>-315</v>
      </c>
      <c r="L51" s="253">
        <f t="shared" si="21"/>
        <v>0</v>
      </c>
      <c r="M51" s="253">
        <f t="shared" si="22"/>
        <v>0</v>
      </c>
      <c r="N51" s="251"/>
      <c r="O51" s="251"/>
      <c r="P51" s="251"/>
      <c r="Q51" s="251"/>
      <c r="R51" s="251"/>
      <c r="S51" s="251"/>
      <c r="T51" s="253">
        <f>IF($G$30="ja",$E$30,0)</f>
        <v>-300</v>
      </c>
      <c r="U51" s="251"/>
      <c r="V51" s="253">
        <f t="shared" si="23"/>
        <v>0</v>
      </c>
      <c r="W51" s="253">
        <f t="shared" si="24"/>
        <v>-15</v>
      </c>
      <c r="X51" s="338">
        <f t="shared" si="5"/>
        <v>1</v>
      </c>
      <c r="Y51">
        <f t="shared" si="6"/>
        <v>0.05</v>
      </c>
      <c r="Z51" s="328">
        <f t="shared" si="7"/>
        <v>1.05</v>
      </c>
      <c r="AA51" s="328"/>
      <c r="AB51" s="343">
        <v>49</v>
      </c>
      <c r="AC51">
        <f>SUM(Z3:Z51)</f>
        <v>32.450000000000024</v>
      </c>
      <c r="AE51" s="341">
        <f t="shared" si="8"/>
        <v>0</v>
      </c>
      <c r="AF51" s="341">
        <f t="shared" si="9"/>
        <v>0</v>
      </c>
      <c r="AG51" s="341">
        <f t="shared" si="10"/>
        <v>0</v>
      </c>
      <c r="AH51" s="341">
        <f t="shared" si="11"/>
        <v>0</v>
      </c>
      <c r="AI51" s="341">
        <f t="shared" si="12"/>
        <v>0</v>
      </c>
      <c r="AJ51" s="341">
        <f t="shared" si="13"/>
        <v>0</v>
      </c>
      <c r="AK51" s="341">
        <f t="shared" si="14"/>
        <v>0</v>
      </c>
      <c r="AL51" s="341">
        <f t="shared" si="15"/>
        <v>0</v>
      </c>
      <c r="AM51" s="341">
        <f t="shared" si="16"/>
        <v>1</v>
      </c>
      <c r="AN51" s="341">
        <f t="shared" si="17"/>
        <v>0</v>
      </c>
      <c r="AO51" s="341">
        <f t="shared" si="18"/>
        <v>0</v>
      </c>
      <c r="AP51" s="341">
        <f t="shared" si="19"/>
        <v>1</v>
      </c>
    </row>
    <row r="52" spans="1:42" x14ac:dyDescent="0.15">
      <c r="A52" s="332">
        <v>8</v>
      </c>
      <c r="J52" s="252">
        <v>50</v>
      </c>
      <c r="K52" s="253">
        <f>SUM(L52:W52)</f>
        <v>-315</v>
      </c>
      <c r="L52" s="253">
        <f t="shared" si="21"/>
        <v>0</v>
      </c>
      <c r="M52" s="253">
        <f t="shared" si="22"/>
        <v>0</v>
      </c>
      <c r="N52" s="253">
        <f>IF($G$24="ja",$E$24,0)</f>
        <v>-300</v>
      </c>
      <c r="O52" s="251"/>
      <c r="P52" s="251"/>
      <c r="Q52" s="251"/>
      <c r="R52" s="251"/>
      <c r="S52" s="251"/>
      <c r="T52" s="251"/>
      <c r="U52" s="251"/>
      <c r="V52" s="253">
        <f t="shared" si="23"/>
        <v>0</v>
      </c>
      <c r="W52" s="253">
        <f t="shared" si="24"/>
        <v>-15</v>
      </c>
      <c r="X52" s="338">
        <f t="shared" si="5"/>
        <v>1</v>
      </c>
      <c r="Y52">
        <f t="shared" si="6"/>
        <v>0.05</v>
      </c>
      <c r="Z52" s="328">
        <f t="shared" si="7"/>
        <v>1.05</v>
      </c>
      <c r="AA52" s="328"/>
      <c r="AB52" s="343">
        <v>50</v>
      </c>
      <c r="AC52">
        <f>SUM(Z3:Z52)</f>
        <v>33.500000000000021</v>
      </c>
      <c r="AE52" s="341">
        <f t="shared" si="8"/>
        <v>0</v>
      </c>
      <c r="AF52" s="341">
        <f t="shared" si="9"/>
        <v>0</v>
      </c>
      <c r="AG52" s="341">
        <f t="shared" si="10"/>
        <v>1</v>
      </c>
      <c r="AH52" s="341">
        <f t="shared" si="11"/>
        <v>0</v>
      </c>
      <c r="AI52" s="341">
        <f t="shared" si="12"/>
        <v>0</v>
      </c>
      <c r="AJ52" s="341">
        <f t="shared" si="13"/>
        <v>0</v>
      </c>
      <c r="AK52" s="341">
        <f t="shared" si="14"/>
        <v>0</v>
      </c>
      <c r="AL52" s="341">
        <f t="shared" si="15"/>
        <v>0</v>
      </c>
      <c r="AM52" s="341">
        <f t="shared" si="16"/>
        <v>0</v>
      </c>
      <c r="AN52" s="341">
        <f t="shared" si="17"/>
        <v>0</v>
      </c>
      <c r="AO52" s="341">
        <f t="shared" si="18"/>
        <v>0</v>
      </c>
      <c r="AP52" s="341">
        <f t="shared" si="19"/>
        <v>1</v>
      </c>
    </row>
    <row r="53" spans="1:42" x14ac:dyDescent="0.15">
      <c r="A53" s="332">
        <v>9</v>
      </c>
      <c r="N53" s="227"/>
      <c r="V53" s="227"/>
      <c r="X53" s="328"/>
      <c r="Y53" s="342" t="s">
        <v>233</v>
      </c>
      <c r="Z53" s="328"/>
      <c r="AA53" s="328"/>
      <c r="AB53" s="329"/>
      <c r="AE53" s="337"/>
      <c r="AF53" s="337"/>
      <c r="AG53" s="337"/>
      <c r="AH53" s="337"/>
      <c r="AI53" s="337"/>
      <c r="AJ53" s="337"/>
      <c r="AK53" s="337"/>
      <c r="AL53" s="337"/>
      <c r="AM53" s="337"/>
      <c r="AP53" s="338"/>
    </row>
    <row r="54" spans="1:42" x14ac:dyDescent="0.15">
      <c r="A54" s="332">
        <v>10</v>
      </c>
    </row>
    <row r="55" spans="1:42" x14ac:dyDescent="0.15">
      <c r="A55" s="332">
        <v>11</v>
      </c>
    </row>
    <row r="56" spans="1:42" x14ac:dyDescent="0.15">
      <c r="A56" s="332">
        <v>12</v>
      </c>
    </row>
    <row r="57" spans="1:42" x14ac:dyDescent="0.15">
      <c r="A57" s="332">
        <v>13</v>
      </c>
      <c r="K57" s="246"/>
      <c r="S57" s="227"/>
    </row>
    <row r="58" spans="1:42" x14ac:dyDescent="0.15">
      <c r="A58" s="332">
        <v>14</v>
      </c>
    </row>
    <row r="59" spans="1:42" x14ac:dyDescent="0.15">
      <c r="A59" s="332">
        <v>15</v>
      </c>
    </row>
    <row r="60" spans="1:42" x14ac:dyDescent="0.15">
      <c r="A60" s="332">
        <v>16</v>
      </c>
    </row>
    <row r="61" spans="1:42" x14ac:dyDescent="0.15">
      <c r="A61" s="332">
        <v>17</v>
      </c>
    </row>
    <row r="62" spans="1:42" x14ac:dyDescent="0.15">
      <c r="A62" s="332">
        <v>18</v>
      </c>
    </row>
    <row r="63" spans="1:42" x14ac:dyDescent="0.15">
      <c r="A63" s="332">
        <v>19</v>
      </c>
    </row>
    <row r="64" spans="1:42" x14ac:dyDescent="0.15">
      <c r="A64" s="332">
        <v>20</v>
      </c>
    </row>
    <row r="65" spans="1:1" x14ac:dyDescent="0.15">
      <c r="A65" s="332">
        <v>21</v>
      </c>
    </row>
    <row r="66" spans="1:1" x14ac:dyDescent="0.15">
      <c r="A66" s="332">
        <v>22</v>
      </c>
    </row>
    <row r="67" spans="1:1" x14ac:dyDescent="0.15">
      <c r="A67" s="332">
        <v>23</v>
      </c>
    </row>
    <row r="68" spans="1:1" x14ac:dyDescent="0.15">
      <c r="A68" s="332">
        <v>24</v>
      </c>
    </row>
    <row r="69" spans="1:1" x14ac:dyDescent="0.15">
      <c r="A69" s="332">
        <v>25</v>
      </c>
    </row>
    <row r="70" spans="1:1" x14ac:dyDescent="0.15">
      <c r="A70" s="332">
        <v>26</v>
      </c>
    </row>
    <row r="71" spans="1:1" x14ac:dyDescent="0.15">
      <c r="A71" s="332">
        <v>27</v>
      </c>
    </row>
    <row r="72" spans="1:1" x14ac:dyDescent="0.15">
      <c r="A72" s="332">
        <v>28</v>
      </c>
    </row>
    <row r="73" spans="1:1" x14ac:dyDescent="0.15">
      <c r="A73" s="332">
        <v>29</v>
      </c>
    </row>
    <row r="74" spans="1:1" x14ac:dyDescent="0.15">
      <c r="A74" s="332">
        <v>30</v>
      </c>
    </row>
    <row r="75" spans="1:1" x14ac:dyDescent="0.15">
      <c r="A75" s="332">
        <v>31</v>
      </c>
    </row>
    <row r="76" spans="1:1" x14ac:dyDescent="0.15">
      <c r="A76" s="332">
        <v>32</v>
      </c>
    </row>
    <row r="77" spans="1:1" x14ac:dyDescent="0.15">
      <c r="A77" s="332">
        <v>33</v>
      </c>
    </row>
    <row r="78" spans="1:1" x14ac:dyDescent="0.15">
      <c r="A78" s="332">
        <v>34</v>
      </c>
    </row>
    <row r="79" spans="1:1" x14ac:dyDescent="0.15">
      <c r="A79" s="332">
        <v>35</v>
      </c>
    </row>
    <row r="80" spans="1:1" x14ac:dyDescent="0.15">
      <c r="A80" s="332">
        <v>36</v>
      </c>
    </row>
    <row r="81" spans="1:1" x14ac:dyDescent="0.15">
      <c r="A81" s="332">
        <v>37</v>
      </c>
    </row>
    <row r="82" spans="1:1" x14ac:dyDescent="0.15">
      <c r="A82" s="332">
        <v>38</v>
      </c>
    </row>
    <row r="83" spans="1:1" x14ac:dyDescent="0.15">
      <c r="A83" s="332">
        <v>39</v>
      </c>
    </row>
    <row r="84" spans="1:1" x14ac:dyDescent="0.15">
      <c r="A84" s="332">
        <v>40</v>
      </c>
    </row>
    <row r="85" spans="1:1" x14ac:dyDescent="0.15">
      <c r="A85" s="332">
        <v>41</v>
      </c>
    </row>
    <row r="86" spans="1:1" x14ac:dyDescent="0.15">
      <c r="A86" s="332">
        <v>42</v>
      </c>
    </row>
    <row r="87" spans="1:1" x14ac:dyDescent="0.15">
      <c r="A87" s="332">
        <v>43</v>
      </c>
    </row>
    <row r="88" spans="1:1" x14ac:dyDescent="0.15">
      <c r="A88" s="332">
        <v>44</v>
      </c>
    </row>
    <row r="89" spans="1:1" x14ac:dyDescent="0.15">
      <c r="A89" s="332">
        <v>45</v>
      </c>
    </row>
    <row r="90" spans="1:1" x14ac:dyDescent="0.15">
      <c r="A90" s="332">
        <v>46</v>
      </c>
    </row>
    <row r="91" spans="1:1" x14ac:dyDescent="0.15">
      <c r="A91" s="332">
        <v>47</v>
      </c>
    </row>
    <row r="92" spans="1:1" x14ac:dyDescent="0.15">
      <c r="A92" s="332">
        <v>48</v>
      </c>
    </row>
    <row r="93" spans="1:1" x14ac:dyDescent="0.15">
      <c r="A93" s="332">
        <v>49</v>
      </c>
    </row>
    <row r="94" spans="1:1" x14ac:dyDescent="0.15">
      <c r="A94" s="332">
        <v>50</v>
      </c>
    </row>
  </sheetData>
  <sheetProtection algorithmName="SHA-512" hashValue="+H5JuLo+7dofikwma7gtpYpMYUV17O11KlOvQ36i+RFxeLqo9KX7GKzhdaokfUb8Oc3ZMBIk8t682JgyeDLvjA==" saltValue="VmJpaeXOTWqH/kUEsVFYtA==" spinCount="100000" sheet="1" objects="1" scenarios="1"/>
  <mergeCells count="1">
    <mergeCell ref="A20:A21"/>
  </mergeCells>
  <pageMargins left="0.75" right="0.75" top="1" bottom="1" header="0.3" footer="0.3"/>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M47"/>
  <sheetViews>
    <sheetView workbookViewId="0">
      <selection activeCell="J26" sqref="J26"/>
    </sheetView>
  </sheetViews>
  <sheetFormatPr baseColWidth="10" defaultRowHeight="13" x14ac:dyDescent="0.15"/>
  <cols>
    <col min="1" max="1" width="2.5" customWidth="1"/>
    <col min="2" max="2" width="28.1640625" customWidth="1"/>
    <col min="4" max="4" width="13.83203125" customWidth="1"/>
    <col min="5" max="5" width="15" customWidth="1"/>
    <col min="8" max="8" width="5.6640625" customWidth="1"/>
    <col min="9" max="9" width="7" customWidth="1"/>
    <col min="10" max="10" width="63.83203125" customWidth="1"/>
    <col min="11" max="11" width="11.6640625" bestFit="1" customWidth="1"/>
    <col min="13" max="13" width="12" bestFit="1" customWidth="1"/>
  </cols>
  <sheetData>
    <row r="3" spans="2:5" ht="16" x14ac:dyDescent="0.2">
      <c r="E3" s="13" t="s">
        <v>150</v>
      </c>
    </row>
    <row r="5" spans="2:5" x14ac:dyDescent="0.15">
      <c r="E5" s="1" t="s">
        <v>151</v>
      </c>
    </row>
    <row r="6" spans="2:5" x14ac:dyDescent="0.15">
      <c r="E6" t="s">
        <v>187</v>
      </c>
    </row>
    <row r="7" spans="2:5" x14ac:dyDescent="0.15">
      <c r="E7" t="s">
        <v>188</v>
      </c>
    </row>
    <row r="8" spans="2:5" x14ac:dyDescent="0.15">
      <c r="E8" t="s">
        <v>152</v>
      </c>
    </row>
    <row r="9" spans="2:5" x14ac:dyDescent="0.15">
      <c r="E9" t="s">
        <v>156</v>
      </c>
    </row>
    <row r="10" spans="2:5" x14ac:dyDescent="0.15">
      <c r="E10" t="s">
        <v>189</v>
      </c>
    </row>
    <row r="11" spans="2:5" x14ac:dyDescent="0.15">
      <c r="E11" t="s">
        <v>162</v>
      </c>
    </row>
    <row r="13" spans="2:5" x14ac:dyDescent="0.15">
      <c r="E13" t="s">
        <v>163</v>
      </c>
    </row>
    <row r="14" spans="2:5" x14ac:dyDescent="0.15">
      <c r="E14" t="s">
        <v>161</v>
      </c>
    </row>
    <row r="15" spans="2:5" x14ac:dyDescent="0.15">
      <c r="E15" t="s">
        <v>204</v>
      </c>
    </row>
    <row r="16" spans="2:5" x14ac:dyDescent="0.15">
      <c r="B16" s="309" t="s">
        <v>190</v>
      </c>
      <c r="E16" t="s">
        <v>205</v>
      </c>
    </row>
    <row r="17" spans="2:13" x14ac:dyDescent="0.15">
      <c r="E17" t="s">
        <v>206</v>
      </c>
    </row>
    <row r="18" spans="2:13" x14ac:dyDescent="0.15">
      <c r="B18" s="1" t="s">
        <v>182</v>
      </c>
    </row>
    <row r="19" spans="2:13" x14ac:dyDescent="0.15">
      <c r="J19" s="1" t="s">
        <v>171</v>
      </c>
      <c r="K19" s="311" t="s">
        <v>196</v>
      </c>
    </row>
    <row r="20" spans="2:13" x14ac:dyDescent="0.15">
      <c r="B20" s="1" t="s">
        <v>153</v>
      </c>
      <c r="C20" t="s">
        <v>169</v>
      </c>
      <c r="J20" t="s">
        <v>184</v>
      </c>
      <c r="K20" s="325">
        <v>0.5</v>
      </c>
    </row>
    <row r="21" spans="2:13" x14ac:dyDescent="0.15">
      <c r="B21" t="s">
        <v>155</v>
      </c>
      <c r="C21" s="286">
        <v>5.5</v>
      </c>
      <c r="J21" t="s">
        <v>183</v>
      </c>
      <c r="K21" s="326">
        <v>30</v>
      </c>
    </row>
    <row r="22" spans="2:13" x14ac:dyDescent="0.15">
      <c r="B22" t="s">
        <v>154</v>
      </c>
      <c r="C22" s="287">
        <v>5</v>
      </c>
      <c r="J22" t="s">
        <v>174</v>
      </c>
      <c r="K22" s="327">
        <v>50</v>
      </c>
    </row>
    <row r="23" spans="2:13" x14ac:dyDescent="0.15">
      <c r="B23" t="s">
        <v>157</v>
      </c>
      <c r="C23" s="289">
        <f>C21*C22</f>
        <v>27.5</v>
      </c>
    </row>
    <row r="24" spans="2:13" ht="16" x14ac:dyDescent="0.2">
      <c r="J24" s="271" t="s">
        <v>191</v>
      </c>
      <c r="K24" s="271" t="s">
        <v>195</v>
      </c>
      <c r="L24" s="271" t="s">
        <v>198</v>
      </c>
      <c r="M24" s="271" t="s">
        <v>175</v>
      </c>
    </row>
    <row r="25" spans="2:13" ht="16" x14ac:dyDescent="0.2">
      <c r="B25" s="1" t="s">
        <v>164</v>
      </c>
      <c r="J25" s="291" t="s">
        <v>192</v>
      </c>
      <c r="K25" s="300">
        <v>0.05</v>
      </c>
      <c r="L25" s="312">
        <f>K21</f>
        <v>30</v>
      </c>
      <c r="M25" s="296">
        <f>K25*K22*L25</f>
        <v>75</v>
      </c>
    </row>
    <row r="26" spans="2:13" ht="16" x14ac:dyDescent="0.2">
      <c r="B26" t="s">
        <v>168</v>
      </c>
      <c r="C26" s="289">
        <f>C23*2</f>
        <v>55</v>
      </c>
      <c r="J26" s="293" t="s">
        <v>180</v>
      </c>
      <c r="K26" s="301">
        <v>0.05</v>
      </c>
      <c r="L26" s="313">
        <v>30</v>
      </c>
      <c r="M26" s="297">
        <f>K26*K22*L26</f>
        <v>75</v>
      </c>
    </row>
    <row r="27" spans="2:13" ht="16" x14ac:dyDescent="0.2">
      <c r="B27" s="1" t="s">
        <v>170</v>
      </c>
      <c r="J27" s="293" t="s">
        <v>125</v>
      </c>
      <c r="K27" s="301">
        <v>2.5000000000000001E-2</v>
      </c>
      <c r="L27" s="313">
        <f>K21</f>
        <v>30</v>
      </c>
      <c r="M27" s="297">
        <f>K27*K22*L27</f>
        <v>37.5</v>
      </c>
    </row>
    <row r="28" spans="2:13" ht="16" x14ac:dyDescent="0.2">
      <c r="B28" t="s">
        <v>172</v>
      </c>
      <c r="C28" s="289">
        <v>100</v>
      </c>
      <c r="J28" s="293" t="s">
        <v>193</v>
      </c>
      <c r="K28" s="301">
        <v>7.4999999999999997E-2</v>
      </c>
      <c r="L28" s="313">
        <f>K21</f>
        <v>30</v>
      </c>
      <c r="M28" s="297">
        <f>K28*K22*L28</f>
        <v>112.5</v>
      </c>
    </row>
    <row r="29" spans="2:13" ht="16" x14ac:dyDescent="0.2">
      <c r="J29" s="293" t="s">
        <v>126</v>
      </c>
      <c r="K29" s="301">
        <v>0.01</v>
      </c>
      <c r="L29" s="313">
        <f>K21</f>
        <v>30</v>
      </c>
      <c r="M29" s="297">
        <f>K29*K22*L29</f>
        <v>15</v>
      </c>
    </row>
    <row r="30" spans="2:13" ht="16" x14ac:dyDescent="0.2">
      <c r="B30" s="1" t="s">
        <v>158</v>
      </c>
      <c r="C30" t="s">
        <v>169</v>
      </c>
      <c r="J30" s="294" t="s">
        <v>194</v>
      </c>
      <c r="K30" s="302">
        <v>5.0000000000000001E-3</v>
      </c>
      <c r="L30" s="314">
        <f>K21</f>
        <v>30</v>
      </c>
      <c r="M30" s="298">
        <f>K30*K22*L30</f>
        <v>7.5</v>
      </c>
    </row>
    <row r="31" spans="2:13" ht="16" x14ac:dyDescent="0.2">
      <c r="B31" t="s">
        <v>165</v>
      </c>
      <c r="C31" s="286">
        <v>9.8000000000000007</v>
      </c>
      <c r="D31" s="4"/>
      <c r="J31" s="290"/>
      <c r="L31" s="290"/>
      <c r="M31" s="299">
        <f>SUM(M25:M30)</f>
        <v>322.5</v>
      </c>
    </row>
    <row r="32" spans="2:13" ht="16" x14ac:dyDescent="0.2">
      <c r="B32" t="s">
        <v>159</v>
      </c>
      <c r="C32" s="286">
        <v>2.5</v>
      </c>
      <c r="D32" s="4"/>
      <c r="J32" s="303" t="s">
        <v>185</v>
      </c>
      <c r="K32" s="304">
        <f>K20</f>
        <v>0.5</v>
      </c>
      <c r="L32" s="310">
        <v>30</v>
      </c>
      <c r="M32" s="305">
        <f>L32*K32</f>
        <v>15</v>
      </c>
    </row>
    <row r="33" spans="2:13" x14ac:dyDescent="0.15">
      <c r="B33" t="s">
        <v>160</v>
      </c>
      <c r="C33" s="288">
        <v>3</v>
      </c>
      <c r="D33" s="4"/>
    </row>
    <row r="34" spans="2:13" ht="16" x14ac:dyDescent="0.2">
      <c r="C34" s="289">
        <f>(C31+C32)*C33</f>
        <v>36.900000000000006</v>
      </c>
      <c r="J34" s="306" t="s">
        <v>181</v>
      </c>
      <c r="M34" s="299">
        <f>M31+M32</f>
        <v>337.5</v>
      </c>
    </row>
    <row r="36" spans="2:13" x14ac:dyDescent="0.15">
      <c r="B36" s="1" t="s">
        <v>167</v>
      </c>
      <c r="C36" t="s">
        <v>169</v>
      </c>
    </row>
    <row r="37" spans="2:13" ht="16" x14ac:dyDescent="0.2">
      <c r="B37" t="s">
        <v>165</v>
      </c>
      <c r="C37" s="286">
        <v>11.6</v>
      </c>
      <c r="J37" s="271" t="s">
        <v>176</v>
      </c>
      <c r="K37" s="271" t="s">
        <v>197</v>
      </c>
      <c r="L37" s="271" t="s">
        <v>199</v>
      </c>
      <c r="M37" s="271" t="s">
        <v>175</v>
      </c>
    </row>
    <row r="38" spans="2:13" ht="16" x14ac:dyDescent="0.2">
      <c r="B38" t="s">
        <v>166</v>
      </c>
      <c r="C38" s="286">
        <v>5</v>
      </c>
      <c r="J38" s="291" t="s">
        <v>177</v>
      </c>
      <c r="K38" s="300">
        <v>0.15</v>
      </c>
      <c r="L38" s="292">
        <v>1</v>
      </c>
      <c r="M38" s="296">
        <f>K38*K22*L38</f>
        <v>7.5</v>
      </c>
    </row>
    <row r="39" spans="2:13" ht="16" x14ac:dyDescent="0.2">
      <c r="B39" t="s">
        <v>160</v>
      </c>
      <c r="C39" s="287">
        <v>3</v>
      </c>
      <c r="J39" s="294" t="s">
        <v>178</v>
      </c>
      <c r="K39" s="302">
        <v>0.15</v>
      </c>
      <c r="L39" s="295">
        <v>1</v>
      </c>
      <c r="M39" s="298">
        <f>+K39*K22*L39</f>
        <v>7.5</v>
      </c>
    </row>
    <row r="40" spans="2:13" ht="16" x14ac:dyDescent="0.2">
      <c r="C40" s="289">
        <f>(C37+C38)*C39</f>
        <v>49.800000000000004</v>
      </c>
      <c r="J40" s="290"/>
      <c r="L40" s="290"/>
      <c r="M40" s="299">
        <f>SUM(M38:M39)</f>
        <v>15</v>
      </c>
    </row>
    <row r="42" spans="2:13" ht="16" x14ac:dyDescent="0.2">
      <c r="J42" s="271" t="s">
        <v>179</v>
      </c>
      <c r="K42" s="271" t="s">
        <v>173</v>
      </c>
      <c r="L42" s="271" t="s">
        <v>199</v>
      </c>
      <c r="M42" s="271" t="s">
        <v>175</v>
      </c>
    </row>
    <row r="43" spans="2:13" ht="16" x14ac:dyDescent="0.2">
      <c r="J43" s="291" t="s">
        <v>177</v>
      </c>
      <c r="K43" s="300">
        <v>0.3</v>
      </c>
      <c r="L43" s="292">
        <v>1</v>
      </c>
      <c r="M43" s="296">
        <f>K43*K22*L43</f>
        <v>15</v>
      </c>
    </row>
    <row r="44" spans="2:13" ht="16" x14ac:dyDescent="0.2">
      <c r="J44" s="294" t="s">
        <v>178</v>
      </c>
      <c r="K44" s="302">
        <v>0.3</v>
      </c>
      <c r="L44" s="295">
        <v>1</v>
      </c>
      <c r="M44" s="298">
        <f>K44*K22*L44</f>
        <v>15</v>
      </c>
    </row>
    <row r="45" spans="2:13" ht="16" x14ac:dyDescent="0.2">
      <c r="J45" s="290"/>
      <c r="L45" s="290"/>
      <c r="M45" s="299">
        <f>SUM(M43:M44)</f>
        <v>30</v>
      </c>
    </row>
    <row r="47" spans="2:13" ht="23" x14ac:dyDescent="0.25">
      <c r="B47" s="308" t="s">
        <v>203</v>
      </c>
    </row>
  </sheetData>
  <sheetProtection password="DD6F" sheet="1" objects="1" scenarios="1"/>
  <pageMargins left="0.75" right="0.75" top="1" bottom="1" header="0.3" footer="0.3"/>
  <pageSetup paperSize="9" orientation="landscape" horizontalDpi="0" verticalDpi="0" copies="3"/>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6:K28"/>
  <sheetViews>
    <sheetView showGridLines="0" workbookViewId="0">
      <selection activeCell="C12" sqref="C12"/>
    </sheetView>
  </sheetViews>
  <sheetFormatPr baseColWidth="10" defaultRowHeight="13" x14ac:dyDescent="0.15"/>
  <cols>
    <col min="3" max="3" width="34.1640625" customWidth="1"/>
  </cols>
  <sheetData>
    <row r="6" spans="3:11" x14ac:dyDescent="0.15">
      <c r="C6" s="239"/>
    </row>
    <row r="7" spans="3:11" x14ac:dyDescent="0.15">
      <c r="C7" s="270" t="s">
        <v>113</v>
      </c>
    </row>
    <row r="8" spans="3:11" ht="16" customHeight="1" x14ac:dyDescent="0.15">
      <c r="C8" s="239" t="s">
        <v>116</v>
      </c>
    </row>
    <row r="9" spans="3:11" ht="16" customHeight="1" x14ac:dyDescent="0.15">
      <c r="C9" s="239" t="s">
        <v>122</v>
      </c>
    </row>
    <row r="10" spans="3:11" ht="16" customHeight="1" x14ac:dyDescent="0.15">
      <c r="C10" s="239" t="s">
        <v>115</v>
      </c>
    </row>
    <row r="11" spans="3:11" ht="16" customHeight="1" x14ac:dyDescent="0.15">
      <c r="C11" s="239" t="s">
        <v>120</v>
      </c>
    </row>
    <row r="12" spans="3:11" ht="16" customHeight="1" x14ac:dyDescent="0.15">
      <c r="C12" s="239" t="s">
        <v>117</v>
      </c>
    </row>
    <row r="13" spans="3:11" ht="16" customHeight="1" x14ac:dyDescent="0.15">
      <c r="C13" s="239" t="s">
        <v>121</v>
      </c>
    </row>
    <row r="14" spans="3:11" ht="16" customHeight="1" x14ac:dyDescent="0.15">
      <c r="C14" s="239" t="s">
        <v>114</v>
      </c>
    </row>
    <row r="15" spans="3:11" ht="16" customHeight="1" x14ac:dyDescent="0.15">
      <c r="C15" s="239" t="s">
        <v>119</v>
      </c>
      <c r="K15" s="270"/>
    </row>
    <row r="16" spans="3:11" ht="16" customHeight="1" x14ac:dyDescent="0.15">
      <c r="C16" s="239"/>
      <c r="K16" s="239"/>
    </row>
    <row r="17" spans="3:11" ht="16" customHeight="1" x14ac:dyDescent="0.15">
      <c r="C17" s="239"/>
      <c r="K17" s="239"/>
    </row>
    <row r="18" spans="3:11" ht="16" customHeight="1" x14ac:dyDescent="0.15">
      <c r="C18" s="270" t="s">
        <v>118</v>
      </c>
      <c r="K18" s="239"/>
    </row>
    <row r="19" spans="3:11" ht="16" customHeight="1" x14ac:dyDescent="0.15">
      <c r="C19" s="239" t="s">
        <v>123</v>
      </c>
      <c r="K19" s="239"/>
    </row>
    <row r="20" spans="3:11" ht="16" customHeight="1" x14ac:dyDescent="0.15">
      <c r="K20" s="239"/>
    </row>
    <row r="21" spans="3:11" ht="16" customHeight="1" x14ac:dyDescent="0.15">
      <c r="K21" s="239"/>
    </row>
    <row r="22" spans="3:11" ht="16" customHeight="1" x14ac:dyDescent="0.15">
      <c r="K22" s="239"/>
    </row>
    <row r="23" spans="3:11" ht="16" customHeight="1" x14ac:dyDescent="0.15">
      <c r="K23" s="239"/>
    </row>
    <row r="24" spans="3:11" ht="16" customHeight="1" x14ac:dyDescent="0.15">
      <c r="K24" s="239"/>
    </row>
    <row r="25" spans="3:11" ht="16" customHeight="1" x14ac:dyDescent="0.15">
      <c r="K25" s="239"/>
    </row>
    <row r="26" spans="3:11" ht="16" customHeight="1" x14ac:dyDescent="0.15">
      <c r="K26" s="270"/>
    </row>
    <row r="27" spans="3:11" ht="16" customHeight="1" x14ac:dyDescent="0.15">
      <c r="K27" s="239"/>
    </row>
    <row r="28" spans="3:11" ht="16" customHeight="1" x14ac:dyDescent="0.15"/>
  </sheetData>
  <pageMargins left="0.75" right="0.75" top="1" bottom="1" header="0.3" footer="0.3"/>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5">
    <pageSetUpPr fitToPage="1"/>
  </sheetPr>
  <dimension ref="A1:J93"/>
  <sheetViews>
    <sheetView topLeftCell="A60" workbookViewId="0">
      <selection activeCell="I24" sqref="I24"/>
    </sheetView>
  </sheetViews>
  <sheetFormatPr baseColWidth="10" defaultColWidth="11.5" defaultRowHeight="13" x14ac:dyDescent="0.15"/>
  <cols>
    <col min="1" max="1" width="12" customWidth="1"/>
    <col min="2" max="2" width="27.6640625" customWidth="1"/>
    <col min="3" max="7" width="17" customWidth="1"/>
    <col min="8" max="8" width="2.6640625" customWidth="1"/>
    <col min="9" max="10" width="12.6640625" customWidth="1"/>
  </cols>
  <sheetData>
    <row r="1" spans="1:10" ht="24" thickBot="1" x14ac:dyDescent="0.3">
      <c r="A1" s="74" t="s">
        <v>22</v>
      </c>
      <c r="B1" s="25"/>
      <c r="C1" s="25"/>
      <c r="D1" s="25"/>
      <c r="E1" s="25"/>
      <c r="F1" s="75" t="s">
        <v>42</v>
      </c>
      <c r="G1" s="25"/>
      <c r="H1" s="25"/>
      <c r="I1" s="25"/>
      <c r="J1" s="25"/>
    </row>
    <row r="2" spans="1:10" ht="14" thickTop="1" x14ac:dyDescent="0.15"/>
    <row r="3" spans="1:10" ht="14" thickBot="1" x14ac:dyDescent="0.2"/>
    <row r="4" spans="1:10" ht="17" thickTop="1" x14ac:dyDescent="0.2">
      <c r="A4" s="53" t="s">
        <v>43</v>
      </c>
      <c r="B4" s="50"/>
      <c r="C4" s="187" t="str">
        <f>IF(ISBLANK('NCW-1 Regulier'!C4),"",'NCW-1 Regulier'!C4)</f>
        <v xml:space="preserve">Investering PITH- Veiligheidssysteeem in in 100 woningen </v>
      </c>
      <c r="D4" s="187"/>
      <c r="E4" s="187"/>
      <c r="F4" s="50"/>
      <c r="G4" s="110"/>
      <c r="H4" s="110"/>
      <c r="I4" s="110"/>
      <c r="J4" s="111"/>
    </row>
    <row r="5" spans="1:10" x14ac:dyDescent="0.15">
      <c r="A5" s="113"/>
      <c r="B5" s="4"/>
      <c r="C5" s="4"/>
      <c r="D5" s="4"/>
      <c r="E5" s="4"/>
      <c r="J5" s="114"/>
    </row>
    <row r="6" spans="1:10" ht="15" thickBot="1" x14ac:dyDescent="0.2">
      <c r="A6" s="112"/>
      <c r="B6" s="116" t="s">
        <v>14</v>
      </c>
      <c r="C6" s="188" t="str">
        <f>IF(ISBLANK('NCW-1 Regulier'!C6),"",'NCW-1 Regulier'!C6)</f>
        <v>André Tijssen</v>
      </c>
      <c r="D6" s="188"/>
      <c r="E6" s="51"/>
      <c r="F6" s="52" t="s">
        <v>16</v>
      </c>
      <c r="G6" s="188" t="str">
        <f>IF(ISBLANK('NCW-1 Regulier'!G6),"",'NCW-1 Regulier'!G6)</f>
        <v>André Tijssen</v>
      </c>
      <c r="H6" s="188"/>
      <c r="I6" s="188"/>
      <c r="J6" s="115"/>
    </row>
    <row r="7" spans="1:10" ht="14" thickTop="1" x14ac:dyDescent="0.15">
      <c r="A7" s="1"/>
      <c r="B7" s="1"/>
    </row>
    <row r="8" spans="1:10" ht="14" thickBot="1" x14ac:dyDescent="0.2">
      <c r="A8" s="1"/>
      <c r="B8" s="1"/>
    </row>
    <row r="9" spans="1:10" ht="20" thickTop="1" thickBot="1" x14ac:dyDescent="0.25">
      <c r="A9" s="26" t="s">
        <v>0</v>
      </c>
      <c r="B9" s="9"/>
      <c r="C9" s="2"/>
      <c r="D9" s="2"/>
      <c r="E9" s="2"/>
      <c r="F9" s="2"/>
      <c r="G9" s="3"/>
      <c r="H9" s="54"/>
      <c r="I9" s="11"/>
      <c r="J9" s="12"/>
    </row>
    <row r="10" spans="1:10" ht="17" thickTop="1" x14ac:dyDescent="0.2">
      <c r="A10" s="118" t="s">
        <v>1</v>
      </c>
      <c r="B10" s="119"/>
      <c r="C10" s="123"/>
      <c r="D10" s="120"/>
      <c r="F10" s="32"/>
      <c r="G10" s="107"/>
      <c r="H10" s="55"/>
      <c r="I10" s="76" t="s">
        <v>17</v>
      </c>
      <c r="J10" s="15"/>
    </row>
    <row r="11" spans="1:10" ht="17.25" customHeight="1" x14ac:dyDescent="0.15">
      <c r="A11" s="94" t="s">
        <v>2</v>
      </c>
      <c r="B11" s="28"/>
      <c r="C11" s="189">
        <f>'NCW-1 Regulier'!C11</f>
        <v>0</v>
      </c>
      <c r="D11" s="121" t="s">
        <v>44</v>
      </c>
      <c r="F11" s="106"/>
      <c r="G11" s="191">
        <f>'NCW-1 Regulier'!G11</f>
        <v>0</v>
      </c>
      <c r="H11" s="56"/>
      <c r="I11" s="76" t="s">
        <v>18</v>
      </c>
      <c r="J11" s="15"/>
    </row>
    <row r="12" spans="1:10" ht="16.5" customHeight="1" thickBot="1" x14ac:dyDescent="0.2">
      <c r="A12" s="94" t="s">
        <v>3</v>
      </c>
      <c r="B12" s="28"/>
      <c r="C12" s="189">
        <f>'NCW-1 Regulier'!C12</f>
        <v>0</v>
      </c>
      <c r="D12" s="121" t="s">
        <v>45</v>
      </c>
      <c r="F12" s="106"/>
      <c r="G12" s="192">
        <f>'NCW-1 Regulier'!G12</f>
        <v>50</v>
      </c>
      <c r="H12" s="57"/>
      <c r="I12" s="76" t="s">
        <v>19</v>
      </c>
      <c r="J12" s="15"/>
    </row>
    <row r="13" spans="1:10" ht="16" thickTop="1" thickBot="1" x14ac:dyDescent="0.2">
      <c r="A13" s="95" t="s">
        <v>4</v>
      </c>
      <c r="B13" s="28"/>
      <c r="C13" s="190">
        <f>'NCW-1 Regulier'!C13</f>
        <v>0</v>
      </c>
      <c r="D13" s="121" t="s">
        <v>59</v>
      </c>
      <c r="F13" s="106"/>
      <c r="G13" s="77">
        <f>-'NCW-1 Regulier'!G13</f>
        <v>-4.8000000000000001E-2</v>
      </c>
      <c r="H13" s="56"/>
      <c r="I13" s="76" t="s">
        <v>20</v>
      </c>
      <c r="J13" s="15"/>
    </row>
    <row r="14" spans="1:10" ht="15" thickTop="1" x14ac:dyDescent="0.15">
      <c r="A14" s="94" t="s">
        <v>39</v>
      </c>
      <c r="B14" s="31"/>
      <c r="C14" s="185">
        <f>SUM(C11:C13)</f>
        <v>0</v>
      </c>
      <c r="D14" s="122"/>
      <c r="F14" s="32"/>
      <c r="G14" s="108"/>
      <c r="H14" s="58"/>
      <c r="I14" s="76" t="s">
        <v>21</v>
      </c>
      <c r="J14" s="15"/>
    </row>
    <row r="15" spans="1:10" ht="14" thickBot="1" x14ac:dyDescent="0.2">
      <c r="A15" s="19"/>
      <c r="B15" s="20"/>
      <c r="C15" s="20"/>
      <c r="D15" s="20"/>
      <c r="E15" s="20"/>
      <c r="F15" s="20"/>
      <c r="G15" s="21"/>
      <c r="H15" s="59"/>
      <c r="I15" s="14"/>
      <c r="J15" s="15"/>
    </row>
    <row r="16" spans="1:10" ht="15" thickTop="1" thickBot="1" x14ac:dyDescent="0.2">
      <c r="A16" s="16"/>
      <c r="B16" s="6"/>
      <c r="C16" s="6"/>
      <c r="D16" s="6"/>
      <c r="E16" s="6"/>
      <c r="F16" s="6"/>
      <c r="G16" s="6"/>
      <c r="H16" s="6"/>
      <c r="I16" s="6"/>
      <c r="J16" s="7"/>
    </row>
    <row r="17" spans="1:10" ht="14" thickTop="1" x14ac:dyDescent="0.15">
      <c r="A17" s="22"/>
      <c r="B17" s="17"/>
      <c r="C17" s="17"/>
      <c r="D17" s="17"/>
      <c r="E17" s="17"/>
      <c r="F17" s="17"/>
      <c r="G17" s="17"/>
      <c r="H17" s="17"/>
      <c r="I17" s="17"/>
      <c r="J17" s="18"/>
    </row>
    <row r="18" spans="1:10" ht="19" thickBot="1" x14ac:dyDescent="0.25">
      <c r="A18" s="27" t="s">
        <v>5</v>
      </c>
      <c r="B18" s="4"/>
      <c r="C18" s="4"/>
      <c r="D18" s="4"/>
      <c r="E18" s="4"/>
      <c r="F18" s="4"/>
      <c r="G18" s="4"/>
      <c r="H18" s="17"/>
      <c r="I18" s="4"/>
      <c r="J18" s="5"/>
    </row>
    <row r="19" spans="1:10" ht="15" thickTop="1" x14ac:dyDescent="0.15">
      <c r="A19" s="35" t="s">
        <v>6</v>
      </c>
      <c r="B19" s="36"/>
      <c r="C19" s="35" t="s">
        <v>12</v>
      </c>
      <c r="D19" s="37" t="s">
        <v>13</v>
      </c>
      <c r="E19" s="35" t="s">
        <v>23</v>
      </c>
      <c r="F19" s="37" t="s">
        <v>25</v>
      </c>
      <c r="G19" s="37" t="s">
        <v>26</v>
      </c>
      <c r="H19" s="60"/>
      <c r="I19" s="78" t="s">
        <v>28</v>
      </c>
      <c r="J19" s="79" t="s">
        <v>29</v>
      </c>
    </row>
    <row r="20" spans="1:10" ht="15" thickBot="1" x14ac:dyDescent="0.2">
      <c r="A20" s="38" t="s">
        <v>7</v>
      </c>
      <c r="B20" s="39"/>
      <c r="C20" s="38" t="s">
        <v>49</v>
      </c>
      <c r="D20" s="40" t="s">
        <v>49</v>
      </c>
      <c r="E20" s="38" t="s">
        <v>24</v>
      </c>
      <c r="F20" s="40" t="s">
        <v>15</v>
      </c>
      <c r="G20" s="40" t="s">
        <v>27</v>
      </c>
      <c r="H20" s="60"/>
      <c r="I20" s="80" t="s">
        <v>15</v>
      </c>
      <c r="J20" s="81" t="s">
        <v>15</v>
      </c>
    </row>
    <row r="21" spans="1:10" ht="16" thickTop="1" x14ac:dyDescent="0.15">
      <c r="A21" s="88" t="s">
        <v>30</v>
      </c>
      <c r="B21" s="93" t="s">
        <v>31</v>
      </c>
      <c r="C21" s="88" t="s">
        <v>35</v>
      </c>
      <c r="D21" s="89" t="s">
        <v>32</v>
      </c>
      <c r="E21" s="88" t="s">
        <v>36</v>
      </c>
      <c r="F21" s="90" t="s">
        <v>37</v>
      </c>
      <c r="G21" s="89" t="s">
        <v>38</v>
      </c>
      <c r="H21" s="17"/>
      <c r="I21" s="91" t="s">
        <v>33</v>
      </c>
      <c r="J21" s="92" t="s">
        <v>34</v>
      </c>
    </row>
    <row r="22" spans="1:10" ht="14" x14ac:dyDescent="0.15">
      <c r="A22" s="10"/>
      <c r="B22" s="8"/>
      <c r="C22" s="10"/>
      <c r="D22" s="5"/>
      <c r="E22" s="10"/>
      <c r="F22" s="96"/>
      <c r="G22" s="5"/>
      <c r="H22" s="17"/>
      <c r="I22" s="82"/>
      <c r="J22" s="83"/>
    </row>
    <row r="23" spans="1:10" ht="14" x14ac:dyDescent="0.15">
      <c r="A23" s="198">
        <v>0</v>
      </c>
      <c r="B23" s="199"/>
      <c r="C23" s="200">
        <v>0</v>
      </c>
      <c r="D23" s="201"/>
      <c r="E23" s="202"/>
      <c r="F23" s="203"/>
      <c r="G23" s="204"/>
      <c r="H23" s="33"/>
      <c r="I23" s="84">
        <f>(1+$G$13)^A23</f>
        <v>1</v>
      </c>
      <c r="J23" s="85">
        <f>1/(1+$G$13)^A23</f>
        <v>1</v>
      </c>
    </row>
    <row r="24" spans="1:10" ht="14" x14ac:dyDescent="0.15">
      <c r="A24" s="205">
        <v>1</v>
      </c>
      <c r="B24" s="206"/>
      <c r="C24" s="216">
        <f>'NCW-1 Regulier'!C24</f>
        <v>0</v>
      </c>
      <c r="D24" s="217">
        <f>'NCW-1 Regulier'!D23</f>
        <v>-315</v>
      </c>
      <c r="E24" s="208">
        <f>C24-D24</f>
        <v>315</v>
      </c>
      <c r="F24" s="209">
        <f>J24</f>
        <v>1.0504201680672269</v>
      </c>
      <c r="G24" s="210">
        <f>E24*F24</f>
        <v>330.88235294117646</v>
      </c>
      <c r="H24" s="61"/>
      <c r="I24" s="84">
        <f>(1+$G$13)^A24</f>
        <v>0.95199999999999996</v>
      </c>
      <c r="J24" s="85">
        <f>1/(1+$G$13)^A24</f>
        <v>1.0504201680672269</v>
      </c>
    </row>
    <row r="25" spans="1:10" ht="14" x14ac:dyDescent="0.15">
      <c r="A25" s="205">
        <v>2</v>
      </c>
      <c r="B25" s="206"/>
      <c r="C25" s="216">
        <f>'NCW-1 Regulier'!C25</f>
        <v>0</v>
      </c>
      <c r="D25" s="217">
        <f>'NCW-1 Regulier'!D24</f>
        <v>-315</v>
      </c>
      <c r="E25" s="208">
        <f t="shared" ref="E25:E42" si="0">C25-D25</f>
        <v>315</v>
      </c>
      <c r="F25" s="209">
        <f t="shared" ref="F25:F42" si="1">J25</f>
        <v>1.1033825294823814</v>
      </c>
      <c r="G25" s="210">
        <f t="shared" ref="G25:G42" si="2">E25*F25</f>
        <v>347.56549678695012</v>
      </c>
      <c r="H25" s="61"/>
      <c r="I25" s="84">
        <f t="shared" ref="I25:I73" si="3">(1+$G$13)^A25</f>
        <v>0.90630399999999989</v>
      </c>
      <c r="J25" s="85">
        <f t="shared" ref="J25:J73" si="4">1/(1+$G$13)^A25</f>
        <v>1.1033825294823814</v>
      </c>
    </row>
    <row r="26" spans="1:10" ht="14" x14ac:dyDescent="0.15">
      <c r="A26" s="205">
        <v>3</v>
      </c>
      <c r="B26" s="206"/>
      <c r="C26" s="216">
        <f>'NCW-1 Regulier'!C26</f>
        <v>0</v>
      </c>
      <c r="D26" s="217">
        <f>'NCW-1 Regulier'!D25</f>
        <v>-615</v>
      </c>
      <c r="E26" s="208">
        <f t="shared" si="0"/>
        <v>615</v>
      </c>
      <c r="F26" s="209">
        <f t="shared" si="1"/>
        <v>1.159015262061325</v>
      </c>
      <c r="G26" s="210">
        <f t="shared" si="2"/>
        <v>712.79438616771483</v>
      </c>
      <c r="H26" s="61"/>
      <c r="I26" s="84">
        <f t="shared" si="3"/>
        <v>0.86280140799999983</v>
      </c>
      <c r="J26" s="85">
        <f t="shared" si="4"/>
        <v>1.159015262061325</v>
      </c>
    </row>
    <row r="27" spans="1:10" ht="14" x14ac:dyDescent="0.15">
      <c r="A27" s="205">
        <v>4</v>
      </c>
      <c r="B27" s="206"/>
      <c r="C27" s="216">
        <f>'NCW-1 Regulier'!C27</f>
        <v>0</v>
      </c>
      <c r="D27" s="217">
        <f>'NCW-1 Regulier'!D26</f>
        <v>-315</v>
      </c>
      <c r="E27" s="208">
        <f t="shared" si="0"/>
        <v>315</v>
      </c>
      <c r="F27" s="209">
        <f t="shared" si="1"/>
        <v>1.217453006366938</v>
      </c>
      <c r="G27" s="210">
        <f t="shared" si="2"/>
        <v>383.49769700558545</v>
      </c>
      <c r="H27" s="61"/>
      <c r="I27" s="84">
        <f t="shared" si="3"/>
        <v>0.8213869404159998</v>
      </c>
      <c r="J27" s="85">
        <f t="shared" si="4"/>
        <v>1.217453006366938</v>
      </c>
    </row>
    <row r="28" spans="1:10" ht="14" x14ac:dyDescent="0.15">
      <c r="A28" s="205">
        <v>5</v>
      </c>
      <c r="B28" s="206"/>
      <c r="C28" s="216">
        <f>'NCW-1 Regulier'!C28</f>
        <v>0</v>
      </c>
      <c r="D28" s="217">
        <f>'NCW-1 Regulier'!D27</f>
        <v>-315</v>
      </c>
      <c r="E28" s="208">
        <f t="shared" si="0"/>
        <v>315</v>
      </c>
      <c r="F28" s="209">
        <f t="shared" si="1"/>
        <v>1.2788371915619097</v>
      </c>
      <c r="G28" s="210">
        <f t="shared" si="2"/>
        <v>402.83371534200154</v>
      </c>
      <c r="H28" s="61"/>
      <c r="I28" s="84">
        <f t="shared" si="3"/>
        <v>0.7819603672760318</v>
      </c>
      <c r="J28" s="85">
        <f t="shared" si="4"/>
        <v>1.2788371915619097</v>
      </c>
    </row>
    <row r="29" spans="1:10" ht="14" x14ac:dyDescent="0.15">
      <c r="A29" s="205">
        <v>6</v>
      </c>
      <c r="B29" s="206"/>
      <c r="C29" s="216">
        <f>'NCW-1 Regulier'!C29</f>
        <v>0</v>
      </c>
      <c r="D29" s="217">
        <f>'NCW-1 Regulier'!D28</f>
        <v>-315</v>
      </c>
      <c r="E29" s="208">
        <f t="shared" si="0"/>
        <v>315</v>
      </c>
      <c r="F29" s="209">
        <f t="shared" si="1"/>
        <v>1.3433163776910819</v>
      </c>
      <c r="G29" s="210">
        <f t="shared" si="2"/>
        <v>423.14465897269082</v>
      </c>
      <c r="H29" s="61"/>
      <c r="I29" s="84">
        <f t="shared" si="3"/>
        <v>0.74442626964678216</v>
      </c>
      <c r="J29" s="85">
        <f t="shared" si="4"/>
        <v>1.3433163776910819</v>
      </c>
    </row>
    <row r="30" spans="1:10" ht="14" x14ac:dyDescent="0.15">
      <c r="A30" s="205">
        <v>7</v>
      </c>
      <c r="B30" s="206"/>
      <c r="C30" s="216">
        <f>'NCW-1 Regulier'!C30</f>
        <v>0</v>
      </c>
      <c r="D30" s="217">
        <f>'NCW-1 Regulier'!D29</f>
        <v>-15</v>
      </c>
      <c r="E30" s="208">
        <f t="shared" si="0"/>
        <v>15</v>
      </c>
      <c r="F30" s="209">
        <f t="shared" si="1"/>
        <v>1.4110466152217249</v>
      </c>
      <c r="G30" s="210">
        <f t="shared" si="2"/>
        <v>21.165699228325874</v>
      </c>
      <c r="H30" s="61"/>
      <c r="I30" s="84">
        <f t="shared" si="3"/>
        <v>0.70869380870373655</v>
      </c>
      <c r="J30" s="85">
        <f t="shared" si="4"/>
        <v>1.4110466152217249</v>
      </c>
    </row>
    <row r="31" spans="1:10" ht="14" x14ac:dyDescent="0.15">
      <c r="A31" s="205">
        <v>8</v>
      </c>
      <c r="B31" s="206"/>
      <c r="C31" s="216">
        <f>'NCW-1 Regulier'!C31</f>
        <v>0</v>
      </c>
      <c r="D31" s="217">
        <f>'NCW-1 Regulier'!D30</f>
        <v>-15</v>
      </c>
      <c r="E31" s="208">
        <f t="shared" si="0"/>
        <v>15</v>
      </c>
      <c r="F31" s="209">
        <f t="shared" si="1"/>
        <v>1.4821918227118958</v>
      </c>
      <c r="G31" s="210">
        <f t="shared" si="2"/>
        <v>22.232877340678435</v>
      </c>
      <c r="H31" s="61"/>
      <c r="I31" s="84">
        <f t="shared" si="3"/>
        <v>0.67467650588595718</v>
      </c>
      <c r="J31" s="85">
        <f t="shared" si="4"/>
        <v>1.4821918227118958</v>
      </c>
    </row>
    <row r="32" spans="1:10" ht="14" x14ac:dyDescent="0.15">
      <c r="A32" s="205">
        <v>9</v>
      </c>
      <c r="B32" s="206"/>
      <c r="C32" s="216">
        <f>'NCW-1 Regulier'!C32</f>
        <v>0</v>
      </c>
      <c r="D32" s="217">
        <f>'NCW-1 Regulier'!D31</f>
        <v>-315</v>
      </c>
      <c r="E32" s="208">
        <f t="shared" si="0"/>
        <v>315</v>
      </c>
      <c r="F32" s="209">
        <f t="shared" si="1"/>
        <v>1.5569241835208989</v>
      </c>
      <c r="G32" s="210">
        <f t="shared" si="2"/>
        <v>490.43111780908316</v>
      </c>
      <c r="H32" s="61"/>
      <c r="I32" s="84">
        <f t="shared" si="3"/>
        <v>0.64229203360343123</v>
      </c>
      <c r="J32" s="85">
        <f t="shared" si="4"/>
        <v>1.5569241835208989</v>
      </c>
    </row>
    <row r="33" spans="1:10" ht="14" x14ac:dyDescent="0.15">
      <c r="A33" s="205">
        <v>10</v>
      </c>
      <c r="B33" s="206"/>
      <c r="C33" s="216">
        <f>'NCW-1 Regulier'!C33</f>
        <v>0</v>
      </c>
      <c r="D33" s="217">
        <f>'NCW-1 Regulier'!D32</f>
        <v>-315</v>
      </c>
      <c r="E33" s="208">
        <f t="shared" si="0"/>
        <v>315</v>
      </c>
      <c r="F33" s="209">
        <f t="shared" si="1"/>
        <v>1.635424562521953</v>
      </c>
      <c r="G33" s="210">
        <f t="shared" si="2"/>
        <v>515.15873719441515</v>
      </c>
      <c r="H33" s="61"/>
      <c r="I33" s="84">
        <f t="shared" si="3"/>
        <v>0.61146201599046646</v>
      </c>
      <c r="J33" s="85">
        <f t="shared" si="4"/>
        <v>1.635424562521953</v>
      </c>
    </row>
    <row r="34" spans="1:10" ht="14" x14ac:dyDescent="0.15">
      <c r="A34" s="205">
        <v>11</v>
      </c>
      <c r="B34" s="206"/>
      <c r="C34" s="216">
        <f>'NCW-1 Regulier'!C34</f>
        <v>0</v>
      </c>
      <c r="D34" s="217">
        <f>'NCW-1 Regulier'!D33</f>
        <v>0</v>
      </c>
      <c r="E34" s="208">
        <f t="shared" si="0"/>
        <v>0</v>
      </c>
      <c r="F34" s="209">
        <f t="shared" si="1"/>
        <v>1.7178829438255812</v>
      </c>
      <c r="G34" s="210">
        <f t="shared" si="2"/>
        <v>0</v>
      </c>
      <c r="H34" s="61"/>
      <c r="I34" s="84">
        <f t="shared" si="3"/>
        <v>0.58211183922292398</v>
      </c>
      <c r="J34" s="85">
        <f t="shared" si="4"/>
        <v>1.7178829438255812</v>
      </c>
    </row>
    <row r="35" spans="1:10" ht="14" x14ac:dyDescent="0.15">
      <c r="A35" s="205">
        <v>12</v>
      </c>
      <c r="B35" s="206"/>
      <c r="C35" s="216">
        <f>'NCW-1 Regulier'!C35</f>
        <v>0</v>
      </c>
      <c r="D35" s="217">
        <f>'NCW-1 Regulier'!D34</f>
        <v>-315</v>
      </c>
      <c r="E35" s="208">
        <f t="shared" si="0"/>
        <v>315</v>
      </c>
      <c r="F35" s="209">
        <f t="shared" si="1"/>
        <v>1.8044988905730892</v>
      </c>
      <c r="G35" s="210">
        <f t="shared" si="2"/>
        <v>568.41715053052314</v>
      </c>
      <c r="H35" s="61"/>
      <c r="I35" s="84">
        <f t="shared" si="3"/>
        <v>0.55417047094022365</v>
      </c>
      <c r="J35" s="85">
        <f t="shared" si="4"/>
        <v>1.8044988905730892</v>
      </c>
    </row>
    <row r="36" spans="1:10" ht="14" x14ac:dyDescent="0.15">
      <c r="A36" s="205">
        <v>13</v>
      </c>
      <c r="B36" s="206"/>
      <c r="C36" s="216">
        <f>'NCW-1 Regulier'!C36</f>
        <v>0</v>
      </c>
      <c r="D36" s="217">
        <f>'NCW-1 Regulier'!D35</f>
        <v>-15</v>
      </c>
      <c r="E36" s="208">
        <f t="shared" si="0"/>
        <v>15</v>
      </c>
      <c r="F36" s="209">
        <f t="shared" si="1"/>
        <v>1.895482027912909</v>
      </c>
      <c r="G36" s="210">
        <f t="shared" si="2"/>
        <v>28.432230418693635</v>
      </c>
      <c r="H36" s="61"/>
      <c r="I36" s="84">
        <f t="shared" si="3"/>
        <v>0.5275702883350929</v>
      </c>
      <c r="J36" s="85">
        <f t="shared" si="4"/>
        <v>1.895482027912909</v>
      </c>
    </row>
    <row r="37" spans="1:10" ht="14" x14ac:dyDescent="0.15">
      <c r="A37" s="205">
        <v>14</v>
      </c>
      <c r="B37" s="206"/>
      <c r="C37" s="216">
        <f>'NCW-1 Regulier'!C37</f>
        <v>0</v>
      </c>
      <c r="D37" s="217">
        <f>'NCW-1 Regulier'!D36</f>
        <v>-315</v>
      </c>
      <c r="E37" s="208">
        <f t="shared" si="0"/>
        <v>315</v>
      </c>
      <c r="F37" s="209">
        <f t="shared" si="1"/>
        <v>1.9910525503286862</v>
      </c>
      <c r="G37" s="210">
        <f t="shared" si="2"/>
        <v>627.18155335353617</v>
      </c>
      <c r="H37" s="61"/>
      <c r="I37" s="84">
        <f t="shared" si="3"/>
        <v>0.50224691449500836</v>
      </c>
      <c r="J37" s="85">
        <f t="shared" si="4"/>
        <v>1.9910525503286862</v>
      </c>
    </row>
    <row r="38" spans="1:10" ht="14" x14ac:dyDescent="0.15">
      <c r="A38" s="205">
        <v>15</v>
      </c>
      <c r="B38" s="206"/>
      <c r="C38" s="216">
        <f>'NCW-1 Regulier'!C38</f>
        <v>0</v>
      </c>
      <c r="D38" s="217">
        <f>'NCW-1 Regulier'!D37</f>
        <v>-15</v>
      </c>
      <c r="E38" s="208">
        <f t="shared" si="0"/>
        <v>15</v>
      </c>
      <c r="F38" s="209">
        <f t="shared" si="1"/>
        <v>2.0914417545469393</v>
      </c>
      <c r="G38" s="210">
        <f t="shared" si="2"/>
        <v>31.37162631820409</v>
      </c>
      <c r="H38" s="61"/>
      <c r="I38" s="84">
        <f t="shared" si="3"/>
        <v>0.47813906259924793</v>
      </c>
      <c r="J38" s="85">
        <f t="shared" si="4"/>
        <v>2.0914417545469393</v>
      </c>
    </row>
    <row r="39" spans="1:10" ht="14" x14ac:dyDescent="0.15">
      <c r="A39" s="205">
        <v>16</v>
      </c>
      <c r="B39" s="206"/>
      <c r="C39" s="216">
        <f>'NCW-1 Regulier'!C39</f>
        <v>0</v>
      </c>
      <c r="D39" s="217">
        <f>'NCW-1 Regulier'!D38</f>
        <v>-15</v>
      </c>
      <c r="E39" s="208">
        <f t="shared" si="0"/>
        <v>15</v>
      </c>
      <c r="F39" s="209">
        <f t="shared" si="1"/>
        <v>2.1968925993140123</v>
      </c>
      <c r="G39" s="210">
        <f t="shared" si="2"/>
        <v>32.953388989710184</v>
      </c>
      <c r="H39" s="61"/>
      <c r="I39" s="84">
        <f t="shared" si="3"/>
        <v>0.45518838759448399</v>
      </c>
      <c r="J39" s="85">
        <f t="shared" si="4"/>
        <v>2.1968925993140123</v>
      </c>
    </row>
    <row r="40" spans="1:10" ht="14" x14ac:dyDescent="0.15">
      <c r="A40" s="205">
        <v>17</v>
      </c>
      <c r="B40" s="206"/>
      <c r="C40" s="216">
        <f>'NCW-1 Regulier'!C40</f>
        <v>0</v>
      </c>
      <c r="D40" s="217">
        <f>'NCW-1 Regulier'!D39</f>
        <v>-15</v>
      </c>
      <c r="E40" s="208">
        <f t="shared" si="0"/>
        <v>15</v>
      </c>
      <c r="F40" s="209">
        <f t="shared" si="1"/>
        <v>2.3076602933970718</v>
      </c>
      <c r="G40" s="210">
        <f t="shared" si="2"/>
        <v>34.614904400956078</v>
      </c>
      <c r="H40" s="61"/>
      <c r="I40" s="84">
        <f t="shared" si="3"/>
        <v>0.43333934498994875</v>
      </c>
      <c r="J40" s="85">
        <f t="shared" si="4"/>
        <v>2.3076602933970718</v>
      </c>
    </row>
    <row r="41" spans="1:10" ht="14" x14ac:dyDescent="0.15">
      <c r="A41" s="205">
        <v>18</v>
      </c>
      <c r="B41" s="206"/>
      <c r="C41" s="216">
        <f>'NCW-1 Regulier'!C41</f>
        <v>0</v>
      </c>
      <c r="D41" s="217">
        <f>'NCW-1 Regulier'!D40</f>
        <v>-315</v>
      </c>
      <c r="E41" s="208">
        <f t="shared" si="0"/>
        <v>315</v>
      </c>
      <c r="F41" s="209">
        <f t="shared" si="1"/>
        <v>2.4240129132322186</v>
      </c>
      <c r="G41" s="210">
        <f t="shared" si="2"/>
        <v>763.56406766814882</v>
      </c>
      <c r="H41" s="61"/>
      <c r="I41" s="84">
        <f t="shared" si="3"/>
        <v>0.41253905643043115</v>
      </c>
      <c r="J41" s="85">
        <f t="shared" si="4"/>
        <v>2.4240129132322186</v>
      </c>
    </row>
    <row r="42" spans="1:10" ht="14" x14ac:dyDescent="0.15">
      <c r="A42" s="205">
        <v>19</v>
      </c>
      <c r="B42" s="206"/>
      <c r="C42" s="216">
        <f>'NCW-1 Regulier'!C42</f>
        <v>0</v>
      </c>
      <c r="D42" s="217">
        <f>'NCW-1 Regulier'!D41</f>
        <v>-315</v>
      </c>
      <c r="E42" s="208">
        <f t="shared" si="0"/>
        <v>315</v>
      </c>
      <c r="F42" s="209">
        <f t="shared" si="1"/>
        <v>2.5462320517145152</v>
      </c>
      <c r="G42" s="210">
        <f t="shared" si="2"/>
        <v>802.06309629007228</v>
      </c>
      <c r="H42" s="61"/>
      <c r="I42" s="84">
        <f t="shared" si="3"/>
        <v>0.39273718172177047</v>
      </c>
      <c r="J42" s="85">
        <f t="shared" si="4"/>
        <v>2.5462320517145152</v>
      </c>
    </row>
    <row r="43" spans="1:10" ht="14" x14ac:dyDescent="0.15">
      <c r="A43" s="205">
        <v>20</v>
      </c>
      <c r="B43" s="206"/>
      <c r="C43" s="216">
        <f>'NCW-1 Regulier'!C43</f>
        <v>0</v>
      </c>
      <c r="D43" s="217">
        <f>'NCW-1 Regulier'!D42</f>
        <v>-315</v>
      </c>
      <c r="E43" s="208">
        <f t="shared" ref="E43:E68" si="5">C43-D43</f>
        <v>315</v>
      </c>
      <c r="F43" s="209">
        <f t="shared" ref="F43:F68" si="6">J43</f>
        <v>2.6746134997001212</v>
      </c>
      <c r="G43" s="210">
        <f t="shared" ref="G43:G68" si="7">E43*F43</f>
        <v>842.50325240553821</v>
      </c>
      <c r="H43" s="61"/>
      <c r="I43" s="84">
        <f t="shared" si="3"/>
        <v>0.37388579699912544</v>
      </c>
      <c r="J43" s="85">
        <f t="shared" si="4"/>
        <v>2.6746134997001212</v>
      </c>
    </row>
    <row r="44" spans="1:10" ht="14" x14ac:dyDescent="0.15">
      <c r="A44" s="205">
        <v>21</v>
      </c>
      <c r="B44" s="206"/>
      <c r="C44" s="216">
        <f>'NCW-1 Regulier'!C44</f>
        <v>0</v>
      </c>
      <c r="D44" s="217">
        <f>'NCW-1 Regulier'!D43</f>
        <v>-15</v>
      </c>
      <c r="E44" s="208">
        <f t="shared" si="5"/>
        <v>15</v>
      </c>
      <c r="F44" s="209">
        <f t="shared" si="6"/>
        <v>2.809467961869875</v>
      </c>
      <c r="G44" s="210">
        <f t="shared" si="7"/>
        <v>42.142019428048123</v>
      </c>
      <c r="H44" s="61"/>
      <c r="I44" s="84">
        <f t="shared" si="3"/>
        <v>0.35593927874316744</v>
      </c>
      <c r="J44" s="85">
        <f t="shared" si="4"/>
        <v>2.809467961869875</v>
      </c>
    </row>
    <row r="45" spans="1:10" ht="14" x14ac:dyDescent="0.15">
      <c r="A45" s="205">
        <v>22</v>
      </c>
      <c r="B45" s="206"/>
      <c r="C45" s="216">
        <f>'NCW-1 Regulier'!C45</f>
        <v>0</v>
      </c>
      <c r="D45" s="217">
        <f>'NCW-1 Regulier'!D44</f>
        <v>-315</v>
      </c>
      <c r="E45" s="208">
        <f t="shared" si="5"/>
        <v>315</v>
      </c>
      <c r="F45" s="209">
        <f t="shared" si="6"/>
        <v>2.9511218086868443</v>
      </c>
      <c r="G45" s="210">
        <f t="shared" si="7"/>
        <v>929.60336973635594</v>
      </c>
      <c r="H45" s="61"/>
      <c r="I45" s="84">
        <f t="shared" si="3"/>
        <v>0.33885419336349532</v>
      </c>
      <c r="J45" s="85">
        <f t="shared" si="4"/>
        <v>2.9511218086868443</v>
      </c>
    </row>
    <row r="46" spans="1:10" ht="14" x14ac:dyDescent="0.15">
      <c r="A46" s="205">
        <v>23</v>
      </c>
      <c r="B46" s="206"/>
      <c r="C46" s="216">
        <f>'NCW-1 Regulier'!C46</f>
        <v>0</v>
      </c>
      <c r="D46" s="217">
        <f>'NCW-1 Regulier'!D45</f>
        <v>-615</v>
      </c>
      <c r="E46" s="208">
        <f t="shared" si="5"/>
        <v>615</v>
      </c>
      <c r="F46" s="209">
        <f t="shared" si="6"/>
        <v>3.0999178662676941</v>
      </c>
      <c r="G46" s="210">
        <f t="shared" si="7"/>
        <v>1906.4494877546319</v>
      </c>
      <c r="H46" s="61"/>
      <c r="I46" s="84">
        <f t="shared" si="3"/>
        <v>0.3225891920820475</v>
      </c>
      <c r="J46" s="85">
        <f t="shared" si="4"/>
        <v>3.0999178662676941</v>
      </c>
    </row>
    <row r="47" spans="1:10" ht="14" x14ac:dyDescent="0.15">
      <c r="A47" s="205">
        <v>24</v>
      </c>
      <c r="B47" s="206"/>
      <c r="C47" s="216">
        <f>'NCW-1 Regulier'!C47</f>
        <v>0</v>
      </c>
      <c r="D47" s="217">
        <f>'NCW-1 Regulier'!D46</f>
        <v>-15</v>
      </c>
      <c r="E47" s="208">
        <f t="shared" si="5"/>
        <v>15</v>
      </c>
      <c r="F47" s="209">
        <f t="shared" si="6"/>
        <v>3.2562162460795103</v>
      </c>
      <c r="G47" s="210">
        <f t="shared" si="7"/>
        <v>48.843243691192654</v>
      </c>
      <c r="H47" s="61"/>
      <c r="I47" s="84">
        <f t="shared" si="3"/>
        <v>0.30710491086210923</v>
      </c>
      <c r="J47" s="85">
        <f t="shared" si="4"/>
        <v>3.2562162460795103</v>
      </c>
    </row>
    <row r="48" spans="1:10" ht="14" x14ac:dyDescent="0.15">
      <c r="A48" s="205">
        <v>25</v>
      </c>
      <c r="B48" s="206"/>
      <c r="C48" s="216">
        <f>'NCW-1 Regulier'!C48</f>
        <v>0</v>
      </c>
      <c r="D48" s="217">
        <f>'NCW-1 Regulier'!D47</f>
        <v>-15</v>
      </c>
      <c r="E48" s="208">
        <f t="shared" si="5"/>
        <v>15</v>
      </c>
      <c r="F48" s="209">
        <f t="shared" si="6"/>
        <v>3.4203952164700739</v>
      </c>
      <c r="G48" s="210">
        <f t="shared" si="7"/>
        <v>51.305928247051106</v>
      </c>
      <c r="H48" s="61"/>
      <c r="I48" s="84">
        <f t="shared" si="3"/>
        <v>0.29236387514072798</v>
      </c>
      <c r="J48" s="85">
        <f t="shared" si="4"/>
        <v>3.4203952164700739</v>
      </c>
    </row>
    <row r="49" spans="1:10" ht="14" x14ac:dyDescent="0.15">
      <c r="A49" s="205">
        <v>26</v>
      </c>
      <c r="B49" s="206"/>
      <c r="C49" s="216">
        <f>'NCW-1 Regulier'!C49</f>
        <v>0</v>
      </c>
      <c r="D49" s="217">
        <f>'NCW-1 Regulier'!D48</f>
        <v>-315</v>
      </c>
      <c r="E49" s="208">
        <f t="shared" si="5"/>
        <v>315</v>
      </c>
      <c r="F49" s="209">
        <f t="shared" si="6"/>
        <v>3.5928521181408346</v>
      </c>
      <c r="G49" s="210">
        <f t="shared" si="7"/>
        <v>1131.7484172143629</v>
      </c>
      <c r="H49" s="61"/>
      <c r="I49" s="84">
        <f t="shared" si="3"/>
        <v>0.278330409133973</v>
      </c>
      <c r="J49" s="85">
        <f t="shared" si="4"/>
        <v>3.5928521181408346</v>
      </c>
    </row>
    <row r="50" spans="1:10" ht="14" x14ac:dyDescent="0.15">
      <c r="A50" s="205">
        <v>27</v>
      </c>
      <c r="B50" s="206"/>
      <c r="C50" s="216">
        <f>'NCW-1 Regulier'!C50</f>
        <v>0</v>
      </c>
      <c r="D50" s="217">
        <f>'NCW-1 Regulier'!D49</f>
        <v>-615</v>
      </c>
      <c r="E50" s="208">
        <f t="shared" si="5"/>
        <v>615</v>
      </c>
      <c r="F50" s="209">
        <f t="shared" si="6"/>
        <v>3.7740043257781881</v>
      </c>
      <c r="G50" s="210">
        <f t="shared" si="7"/>
        <v>2321.0126603535855</v>
      </c>
      <c r="H50" s="61"/>
      <c r="I50" s="84">
        <f t="shared" si="3"/>
        <v>0.26497054949554227</v>
      </c>
      <c r="J50" s="85">
        <f t="shared" si="4"/>
        <v>3.7740043257781881</v>
      </c>
    </row>
    <row r="51" spans="1:10" ht="14" x14ac:dyDescent="0.15">
      <c r="A51" s="205">
        <v>28</v>
      </c>
      <c r="B51" s="206"/>
      <c r="C51" s="216">
        <f>'NCW-1 Regulier'!C51</f>
        <v>0</v>
      </c>
      <c r="D51" s="217">
        <f>'NCW-1 Regulier'!D50</f>
        <v>-315</v>
      </c>
      <c r="E51" s="208">
        <f t="shared" si="5"/>
        <v>315</v>
      </c>
      <c r="F51" s="209">
        <f t="shared" si="6"/>
        <v>3.9642902581703656</v>
      </c>
      <c r="G51" s="210">
        <f t="shared" si="7"/>
        <v>1248.7514313236652</v>
      </c>
      <c r="H51" s="61"/>
      <c r="I51" s="84">
        <f t="shared" si="3"/>
        <v>0.25225196311975623</v>
      </c>
      <c r="J51" s="85">
        <f t="shared" si="4"/>
        <v>3.9642902581703656</v>
      </c>
    </row>
    <row r="52" spans="1:10" ht="14" x14ac:dyDescent="0.15">
      <c r="A52" s="205">
        <v>29</v>
      </c>
      <c r="B52" s="206"/>
      <c r="C52" s="216">
        <f>'NCW-1 Regulier'!C52</f>
        <v>0</v>
      </c>
      <c r="D52" s="217">
        <f>'NCW-1 Regulier'!D51</f>
        <v>-15</v>
      </c>
      <c r="E52" s="208">
        <f t="shared" si="5"/>
        <v>15</v>
      </c>
      <c r="F52" s="209">
        <f t="shared" si="6"/>
        <v>4.164170439254586</v>
      </c>
      <c r="G52" s="210">
        <f t="shared" si="7"/>
        <v>62.462556588818792</v>
      </c>
      <c r="H52" s="61"/>
      <c r="I52" s="84">
        <f t="shared" si="3"/>
        <v>0.24014386889000794</v>
      </c>
      <c r="J52" s="85">
        <f t="shared" si="4"/>
        <v>4.164170439254586</v>
      </c>
    </row>
    <row r="53" spans="1:10" ht="14" x14ac:dyDescent="0.15">
      <c r="A53" s="205">
        <v>30</v>
      </c>
      <c r="B53" s="206"/>
      <c r="C53" s="216">
        <f>'NCW-1 Regulier'!C53</f>
        <v>0</v>
      </c>
      <c r="D53" s="217">
        <f>'NCW-1 Regulier'!D52</f>
        <v>-315</v>
      </c>
      <c r="E53" s="208">
        <f t="shared" si="5"/>
        <v>315</v>
      </c>
      <c r="F53" s="209">
        <f t="shared" si="6"/>
        <v>4.3741286126623802</v>
      </c>
      <c r="G53" s="210">
        <f t="shared" si="7"/>
        <v>1377.8505129886498</v>
      </c>
      <c r="H53" s="61"/>
      <c r="I53" s="84">
        <f t="shared" si="3"/>
        <v>0.22861696318328753</v>
      </c>
      <c r="J53" s="85">
        <f t="shared" si="4"/>
        <v>4.3741286126623802</v>
      </c>
    </row>
    <row r="54" spans="1:10" ht="14" x14ac:dyDescent="0.15">
      <c r="A54" s="205">
        <v>31</v>
      </c>
      <c r="B54" s="206"/>
      <c r="C54" s="216">
        <f>'NCW-1 Regulier'!C54</f>
        <v>0</v>
      </c>
      <c r="D54" s="217">
        <f>'NCW-1 Regulier'!D53</f>
        <v>-15</v>
      </c>
      <c r="E54" s="208">
        <f t="shared" si="5"/>
        <v>15</v>
      </c>
      <c r="F54" s="209">
        <f t="shared" si="6"/>
        <v>4.5946729124604841</v>
      </c>
      <c r="G54" s="210">
        <f t="shared" si="7"/>
        <v>68.920093686907265</v>
      </c>
      <c r="H54" s="61"/>
      <c r="I54" s="84">
        <f t="shared" si="3"/>
        <v>0.2176433489504897</v>
      </c>
      <c r="J54" s="85">
        <f t="shared" si="4"/>
        <v>4.5946729124604841</v>
      </c>
    </row>
    <row r="55" spans="1:10" ht="14" x14ac:dyDescent="0.15">
      <c r="A55" s="205">
        <v>32</v>
      </c>
      <c r="B55" s="206"/>
      <c r="C55" s="216">
        <f>'NCW-1 Regulier'!C55</f>
        <v>0</v>
      </c>
      <c r="D55" s="217">
        <f>'NCW-1 Regulier'!D54</f>
        <v>-15</v>
      </c>
      <c r="E55" s="208">
        <f t="shared" si="5"/>
        <v>15</v>
      </c>
      <c r="F55" s="209">
        <f t="shared" si="6"/>
        <v>4.826337092920677</v>
      </c>
      <c r="G55" s="210">
        <f t="shared" si="7"/>
        <v>72.395056393810151</v>
      </c>
      <c r="H55" s="61"/>
      <c r="I55" s="84">
        <f t="shared" si="3"/>
        <v>0.20719646820086618</v>
      </c>
      <c r="J55" s="85">
        <f t="shared" si="4"/>
        <v>4.826337092920677</v>
      </c>
    </row>
    <row r="56" spans="1:10" ht="14" x14ac:dyDescent="0.15">
      <c r="A56" s="205">
        <v>33</v>
      </c>
      <c r="B56" s="206"/>
      <c r="C56" s="216">
        <f>'NCW-1 Regulier'!C56</f>
        <v>0</v>
      </c>
      <c r="D56" s="217">
        <f>'NCW-1 Regulier'!D55</f>
        <v>-15</v>
      </c>
      <c r="E56" s="208">
        <f t="shared" si="5"/>
        <v>15</v>
      </c>
      <c r="F56" s="209">
        <f t="shared" si="6"/>
        <v>5.0696818202948286</v>
      </c>
      <c r="G56" s="210">
        <f t="shared" si="7"/>
        <v>76.045227304422426</v>
      </c>
      <c r="H56" s="61"/>
      <c r="I56" s="84">
        <f t="shared" si="3"/>
        <v>0.1972510377272246</v>
      </c>
      <c r="J56" s="85">
        <f t="shared" si="4"/>
        <v>5.0696818202948286</v>
      </c>
    </row>
    <row r="57" spans="1:10" ht="14" x14ac:dyDescent="0.15">
      <c r="A57" s="205">
        <v>34</v>
      </c>
      <c r="B57" s="206"/>
      <c r="C57" s="216">
        <f>'NCW-1 Regulier'!C57</f>
        <v>0</v>
      </c>
      <c r="D57" s="217">
        <f>'NCW-1 Regulier'!D56</f>
        <v>-315</v>
      </c>
      <c r="E57" s="208">
        <f t="shared" si="5"/>
        <v>315</v>
      </c>
      <c r="F57" s="209">
        <f t="shared" si="6"/>
        <v>5.3252960297214589</v>
      </c>
      <c r="G57" s="210">
        <f t="shared" si="7"/>
        <v>1677.4682493622595</v>
      </c>
      <c r="H57" s="61"/>
      <c r="I57" s="84">
        <f t="shared" si="3"/>
        <v>0.18778298791631781</v>
      </c>
      <c r="J57" s="85">
        <f t="shared" si="4"/>
        <v>5.3252960297214589</v>
      </c>
    </row>
    <row r="58" spans="1:10" ht="14" x14ac:dyDescent="0.15">
      <c r="A58" s="205">
        <v>35</v>
      </c>
      <c r="B58" s="206"/>
      <c r="C58" s="216">
        <f>'NCW-1 Regulier'!C58</f>
        <v>0</v>
      </c>
      <c r="D58" s="217">
        <f>'NCW-1 Regulier'!D57</f>
        <v>-15</v>
      </c>
      <c r="E58" s="208">
        <f t="shared" si="5"/>
        <v>15</v>
      </c>
      <c r="F58" s="209">
        <f t="shared" si="6"/>
        <v>5.5937983505477522</v>
      </c>
      <c r="G58" s="210">
        <f t="shared" si="7"/>
        <v>83.906975258216278</v>
      </c>
      <c r="H58" s="61"/>
      <c r="I58" s="84">
        <f t="shared" si="3"/>
        <v>0.17876940449633452</v>
      </c>
      <c r="J58" s="85">
        <f t="shared" si="4"/>
        <v>5.5937983505477522</v>
      </c>
    </row>
    <row r="59" spans="1:10" ht="14" x14ac:dyDescent="0.15">
      <c r="A59" s="205">
        <v>36</v>
      </c>
      <c r="B59" s="206"/>
      <c r="C59" s="216">
        <f>'NCW-1 Regulier'!C59</f>
        <v>0</v>
      </c>
      <c r="D59" s="217">
        <f>'NCW-1 Regulier'!D58</f>
        <v>-315</v>
      </c>
      <c r="E59" s="208">
        <f t="shared" si="5"/>
        <v>315</v>
      </c>
      <c r="F59" s="209">
        <f t="shared" si="6"/>
        <v>5.8758386035165469</v>
      </c>
      <c r="G59" s="210">
        <f t="shared" si="7"/>
        <v>1850.8891601077123</v>
      </c>
      <c r="H59" s="61"/>
      <c r="I59" s="84">
        <f t="shared" si="3"/>
        <v>0.17018847308051047</v>
      </c>
      <c r="J59" s="85">
        <f t="shared" si="4"/>
        <v>5.8758386035165469</v>
      </c>
    </row>
    <row r="60" spans="1:10" ht="14" x14ac:dyDescent="0.15">
      <c r="A60" s="205">
        <v>37</v>
      </c>
      <c r="B60" s="206"/>
      <c r="C60" s="216">
        <f>'NCW-1 Regulier'!C60</f>
        <v>0</v>
      </c>
      <c r="D60" s="217">
        <f>'NCW-1 Regulier'!D59</f>
        <v>-315</v>
      </c>
      <c r="E60" s="208">
        <f t="shared" si="5"/>
        <v>315</v>
      </c>
      <c r="F60" s="209">
        <f t="shared" si="6"/>
        <v>6.1720993734417506</v>
      </c>
      <c r="G60" s="210">
        <f t="shared" si="7"/>
        <v>1944.2113026341515</v>
      </c>
      <c r="H60" s="61"/>
      <c r="I60" s="84">
        <f t="shared" si="3"/>
        <v>0.16201942637264596</v>
      </c>
      <c r="J60" s="85">
        <f t="shared" si="4"/>
        <v>6.1720993734417506</v>
      </c>
    </row>
    <row r="61" spans="1:10" ht="14" x14ac:dyDescent="0.15">
      <c r="A61" s="205">
        <v>38</v>
      </c>
      <c r="B61" s="206"/>
      <c r="C61" s="216">
        <f>'NCW-1 Regulier'!C61</f>
        <v>0</v>
      </c>
      <c r="D61" s="217">
        <f>'NCW-1 Regulier'!D60</f>
        <v>-315</v>
      </c>
      <c r="E61" s="208">
        <f t="shared" si="5"/>
        <v>315</v>
      </c>
      <c r="F61" s="209">
        <f t="shared" si="6"/>
        <v>6.4832976611783106</v>
      </c>
      <c r="G61" s="210">
        <f t="shared" si="7"/>
        <v>2042.238763271168</v>
      </c>
      <c r="H61" s="61"/>
      <c r="I61" s="84">
        <f t="shared" si="3"/>
        <v>0.15424249390675893</v>
      </c>
      <c r="J61" s="85">
        <f t="shared" si="4"/>
        <v>6.4832976611783106</v>
      </c>
    </row>
    <row r="62" spans="1:10" ht="14" x14ac:dyDescent="0.15">
      <c r="A62" s="205">
        <v>39</v>
      </c>
      <c r="B62" s="206"/>
      <c r="C62" s="216">
        <f>'NCW-1 Regulier'!C62</f>
        <v>0</v>
      </c>
      <c r="D62" s="217">
        <f>'NCW-1 Regulier'!D61</f>
        <v>-15</v>
      </c>
      <c r="E62" s="208">
        <f t="shared" si="5"/>
        <v>15</v>
      </c>
      <c r="F62" s="209">
        <f t="shared" si="6"/>
        <v>6.8101866188847806</v>
      </c>
      <c r="G62" s="210">
        <f t="shared" si="7"/>
        <v>102.1527992832717</v>
      </c>
      <c r="H62" s="61"/>
      <c r="I62" s="84">
        <f t="shared" si="3"/>
        <v>0.14683885419923448</v>
      </c>
      <c r="J62" s="85">
        <f t="shared" si="4"/>
        <v>6.8101866188847806</v>
      </c>
    </row>
    <row r="63" spans="1:10" ht="14" x14ac:dyDescent="0.15">
      <c r="A63" s="205">
        <v>40</v>
      </c>
      <c r="B63" s="206"/>
      <c r="C63" s="216">
        <f>'NCW-1 Regulier'!C63</f>
        <v>0</v>
      </c>
      <c r="D63" s="217">
        <f>'NCW-1 Regulier'!D62</f>
        <v>-15</v>
      </c>
      <c r="E63" s="208">
        <f t="shared" si="5"/>
        <v>15</v>
      </c>
      <c r="F63" s="209">
        <f t="shared" si="6"/>
        <v>7.1535573727781312</v>
      </c>
      <c r="G63" s="210">
        <f t="shared" si="7"/>
        <v>107.30336059167198</v>
      </c>
      <c r="H63" s="61"/>
      <c r="I63" s="84">
        <f t="shared" si="3"/>
        <v>0.13979058919767123</v>
      </c>
      <c r="J63" s="85">
        <f t="shared" si="4"/>
        <v>7.1535573727781312</v>
      </c>
    </row>
    <row r="64" spans="1:10" ht="14" x14ac:dyDescent="0.15">
      <c r="A64" s="205">
        <v>41</v>
      </c>
      <c r="B64" s="206"/>
      <c r="C64" s="216">
        <f>'NCW-1 Regulier'!C64</f>
        <v>0</v>
      </c>
      <c r="D64" s="217">
        <f>'NCW-1 Regulier'!D63</f>
        <v>-15</v>
      </c>
      <c r="E64" s="208">
        <f t="shared" si="5"/>
        <v>15</v>
      </c>
      <c r="F64" s="209">
        <f t="shared" si="6"/>
        <v>7.5142409377921542</v>
      </c>
      <c r="G64" s="210">
        <f t="shared" si="7"/>
        <v>112.71361406688231</v>
      </c>
      <c r="H64" s="61"/>
      <c r="I64" s="84">
        <f t="shared" si="3"/>
        <v>0.13308064091618302</v>
      </c>
      <c r="J64" s="85">
        <f t="shared" si="4"/>
        <v>7.5142409377921542</v>
      </c>
    </row>
    <row r="65" spans="1:10" ht="14" x14ac:dyDescent="0.15">
      <c r="A65" s="205">
        <v>42</v>
      </c>
      <c r="B65" s="206"/>
      <c r="C65" s="216">
        <f>'NCW-1 Regulier'!C65</f>
        <v>0</v>
      </c>
      <c r="D65" s="217">
        <f>'NCW-1 Regulier'!D64</f>
        <v>-315</v>
      </c>
      <c r="E65" s="208">
        <f t="shared" si="5"/>
        <v>315</v>
      </c>
      <c r="F65" s="209">
        <f t="shared" si="6"/>
        <v>7.8931102287732733</v>
      </c>
      <c r="G65" s="210">
        <f t="shared" si="7"/>
        <v>2486.3297220635809</v>
      </c>
      <c r="H65" s="61"/>
      <c r="I65" s="84">
        <f t="shared" si="3"/>
        <v>0.1266927701522062</v>
      </c>
      <c r="J65" s="85">
        <f t="shared" si="4"/>
        <v>7.8931102287732733</v>
      </c>
    </row>
    <row r="66" spans="1:10" ht="14" x14ac:dyDescent="0.15">
      <c r="A66" s="205">
        <v>43</v>
      </c>
      <c r="B66" s="206"/>
      <c r="C66" s="216">
        <f>'NCW-1 Regulier'!C66</f>
        <v>0</v>
      </c>
      <c r="D66" s="217">
        <f>'NCW-1 Regulier'!D65</f>
        <v>-615</v>
      </c>
      <c r="E66" s="208">
        <f t="shared" si="5"/>
        <v>615</v>
      </c>
      <c r="F66" s="209">
        <f t="shared" si="6"/>
        <v>8.2910821730811701</v>
      </c>
      <c r="G66" s="210">
        <f t="shared" si="7"/>
        <v>5099.0155364449192</v>
      </c>
      <c r="H66" s="61"/>
      <c r="I66" s="84">
        <f t="shared" si="3"/>
        <v>0.12061151718490029</v>
      </c>
      <c r="J66" s="85">
        <f t="shared" si="4"/>
        <v>8.2910821730811701</v>
      </c>
    </row>
    <row r="67" spans="1:10" ht="14" x14ac:dyDescent="0.15">
      <c r="A67" s="205">
        <v>44</v>
      </c>
      <c r="B67" s="206"/>
      <c r="C67" s="216">
        <f>'NCW-1 Regulier'!C67</f>
        <v>0</v>
      </c>
      <c r="D67" s="217">
        <f>'NCW-1 Regulier'!D66</f>
        <v>-315</v>
      </c>
      <c r="E67" s="208">
        <f t="shared" si="5"/>
        <v>315</v>
      </c>
      <c r="F67" s="209">
        <f t="shared" si="6"/>
        <v>8.7091199297071107</v>
      </c>
      <c r="G67" s="210">
        <f t="shared" si="7"/>
        <v>2743.3727778577399</v>
      </c>
      <c r="H67" s="61"/>
      <c r="I67" s="84">
        <f t="shared" si="3"/>
        <v>0.11482216436002508</v>
      </c>
      <c r="J67" s="85">
        <f t="shared" si="4"/>
        <v>8.7091199297071107</v>
      </c>
    </row>
    <row r="68" spans="1:10" ht="14" x14ac:dyDescent="0.15">
      <c r="A68" s="205">
        <v>45</v>
      </c>
      <c r="B68" s="206"/>
      <c r="C68" s="216">
        <f>'NCW-1 Regulier'!C68</f>
        <v>0</v>
      </c>
      <c r="D68" s="217">
        <f>'NCW-1 Regulier'!D67</f>
        <v>-315</v>
      </c>
      <c r="E68" s="208">
        <f t="shared" si="5"/>
        <v>315</v>
      </c>
      <c r="F68" s="209">
        <f t="shared" si="6"/>
        <v>9.1482352202805792</v>
      </c>
      <c r="G68" s="210">
        <f t="shared" si="7"/>
        <v>2881.6940943883824</v>
      </c>
      <c r="H68" s="61"/>
      <c r="I68" s="84">
        <f t="shared" si="3"/>
        <v>0.10931070047074387</v>
      </c>
      <c r="J68" s="85">
        <f t="shared" si="4"/>
        <v>9.1482352202805792</v>
      </c>
    </row>
    <row r="69" spans="1:10" ht="14" x14ac:dyDescent="0.15">
      <c r="A69" s="205">
        <v>46</v>
      </c>
      <c r="B69" s="206"/>
      <c r="C69" s="216">
        <f>'NCW-1 Regulier'!C69</f>
        <v>0</v>
      </c>
      <c r="D69" s="217">
        <f>'NCW-1 Regulier'!D68</f>
        <v>-315</v>
      </c>
      <c r="E69" s="208">
        <f>C69-D69</f>
        <v>315</v>
      </c>
      <c r="F69" s="209">
        <f>J69</f>
        <v>9.609490777605652</v>
      </c>
      <c r="G69" s="210">
        <f>E69*F69</f>
        <v>3026.9895949457805</v>
      </c>
      <c r="H69" s="61"/>
      <c r="I69" s="84">
        <f t="shared" si="3"/>
        <v>0.10406378684814815</v>
      </c>
      <c r="J69" s="85">
        <f t="shared" si="4"/>
        <v>9.609490777605652</v>
      </c>
    </row>
    <row r="70" spans="1:10" ht="14" x14ac:dyDescent="0.15">
      <c r="A70" s="205">
        <v>47</v>
      </c>
      <c r="B70" s="206"/>
      <c r="C70" s="216">
        <f>'NCW-1 Regulier'!C70</f>
        <v>0</v>
      </c>
      <c r="D70" s="217">
        <f>'NCW-1 Regulier'!D69</f>
        <v>-15</v>
      </c>
      <c r="E70" s="208">
        <f>C70-D70</f>
        <v>15</v>
      </c>
      <c r="F70" s="209">
        <f>J70</f>
        <v>10.094002917652997</v>
      </c>
      <c r="G70" s="210">
        <f>E70*F70</f>
        <v>151.41004376479495</v>
      </c>
      <c r="H70" s="61"/>
      <c r="I70" s="84">
        <f t="shared" si="3"/>
        <v>9.9068725079437037E-2</v>
      </c>
      <c r="J70" s="85">
        <f t="shared" si="4"/>
        <v>10.094002917652997</v>
      </c>
    </row>
    <row r="71" spans="1:10" ht="14" x14ac:dyDescent="0.15">
      <c r="A71" s="205">
        <v>48</v>
      </c>
      <c r="B71" s="206"/>
      <c r="C71" s="216">
        <f>'NCW-1 Regulier'!C71</f>
        <v>0</v>
      </c>
      <c r="D71" s="217">
        <f>'NCW-1 Regulier'!D70</f>
        <v>0</v>
      </c>
      <c r="E71" s="208">
        <f>C71-D71</f>
        <v>0</v>
      </c>
      <c r="F71" s="209">
        <f>J71</f>
        <v>10.602944241232139</v>
      </c>
      <c r="G71" s="210">
        <f>E71*F71</f>
        <v>0</v>
      </c>
      <c r="H71" s="61"/>
      <c r="I71" s="84">
        <f t="shared" si="3"/>
        <v>9.4313426275624057E-2</v>
      </c>
      <c r="J71" s="85">
        <f t="shared" si="4"/>
        <v>10.602944241232139</v>
      </c>
    </row>
    <row r="72" spans="1:10" ht="14" x14ac:dyDescent="0.15">
      <c r="A72" s="205">
        <v>49</v>
      </c>
      <c r="B72" s="206"/>
      <c r="C72" s="216">
        <f>'NCW-1 Regulier'!C72</f>
        <v>0</v>
      </c>
      <c r="D72" s="217">
        <f>'NCW-1 Regulier'!D71</f>
        <v>-315</v>
      </c>
      <c r="E72" s="208">
        <f>C72-D72</f>
        <v>315</v>
      </c>
      <c r="F72" s="209">
        <f>J72</f>
        <v>11.1375464718825</v>
      </c>
      <c r="G72" s="210">
        <f>E72*F72</f>
        <v>3508.3271386429874</v>
      </c>
      <c r="H72" s="61"/>
      <c r="I72" s="84">
        <f t="shared" si="3"/>
        <v>8.9786381814394092E-2</v>
      </c>
      <c r="J72" s="85">
        <f t="shared" si="4"/>
        <v>11.1375464718825</v>
      </c>
    </row>
    <row r="73" spans="1:10" ht="14" x14ac:dyDescent="0.15">
      <c r="A73" s="205">
        <v>50</v>
      </c>
      <c r="B73" s="206"/>
      <c r="C73" s="216">
        <f>'NCW-1 Regulier'!C73</f>
        <v>0</v>
      </c>
      <c r="D73" s="217">
        <f>'NCW-1 Regulier'!D72</f>
        <v>-315</v>
      </c>
      <c r="E73" s="208">
        <f>C73-D73</f>
        <v>315</v>
      </c>
      <c r="F73" s="209">
        <f>J73</f>
        <v>11.699103436851367</v>
      </c>
      <c r="G73" s="210">
        <f>E73*F73</f>
        <v>3685.2175826081807</v>
      </c>
      <c r="H73" s="61"/>
      <c r="I73" s="84">
        <f t="shared" si="3"/>
        <v>8.5476635487303165E-2</v>
      </c>
      <c r="J73" s="85">
        <f t="shared" si="4"/>
        <v>11.699103436851367</v>
      </c>
    </row>
    <row r="74" spans="1:10" ht="15" thickBot="1" x14ac:dyDescent="0.2">
      <c r="A74" s="211"/>
      <c r="B74" s="212"/>
      <c r="C74" s="211"/>
      <c r="D74" s="213"/>
      <c r="E74" s="211"/>
      <c r="F74" s="214"/>
      <c r="G74" s="215"/>
      <c r="H74" s="33"/>
      <c r="I74" s="86"/>
      <c r="J74" s="87"/>
    </row>
    <row r="75" spans="1:10" ht="15" thickBot="1" x14ac:dyDescent="0.2">
      <c r="A75" s="43" t="s">
        <v>9</v>
      </c>
      <c r="B75" s="44"/>
      <c r="C75" s="69">
        <f>SUM(C23:C74)</f>
        <v>0</v>
      </c>
      <c r="D75" s="70">
        <f>SUM(D23:D74)</f>
        <v>-10920</v>
      </c>
      <c r="E75" s="69">
        <f>SUM(E23:E74)</f>
        <v>10920</v>
      </c>
      <c r="F75" s="98"/>
      <c r="G75" s="45">
        <f>SUM(G24:G74)</f>
        <v>48221.578729167188</v>
      </c>
      <c r="H75" s="61"/>
      <c r="I75" s="4"/>
      <c r="J75" s="5"/>
    </row>
    <row r="76" spans="1:10" ht="14" x14ac:dyDescent="0.15">
      <c r="A76" s="42"/>
      <c r="B76" s="32"/>
      <c r="C76" s="42"/>
      <c r="D76" s="30"/>
      <c r="E76" s="42"/>
      <c r="F76" s="97"/>
      <c r="G76" s="30"/>
      <c r="H76" s="33"/>
      <c r="I76" s="4"/>
      <c r="J76" s="5"/>
    </row>
    <row r="77" spans="1:10" ht="14" x14ac:dyDescent="0.15">
      <c r="A77" s="198">
        <v>0</v>
      </c>
      <c r="B77" s="218" t="s">
        <v>10</v>
      </c>
      <c r="C77" s="219"/>
      <c r="D77" s="220">
        <f>C11</f>
        <v>0</v>
      </c>
      <c r="E77" s="202">
        <f>C77-D77</f>
        <v>0</v>
      </c>
      <c r="F77" s="203">
        <f>J23</f>
        <v>1</v>
      </c>
      <c r="G77" s="220">
        <f>E77*F77</f>
        <v>0</v>
      </c>
      <c r="H77" s="61"/>
      <c r="I77" s="4"/>
      <c r="J77" s="5"/>
    </row>
    <row r="78" spans="1:10" ht="14" x14ac:dyDescent="0.15">
      <c r="A78" s="205">
        <v>1</v>
      </c>
      <c r="B78" s="221" t="s">
        <v>10</v>
      </c>
      <c r="C78" s="222"/>
      <c r="D78" s="210">
        <f>C12</f>
        <v>0</v>
      </c>
      <c r="E78" s="208">
        <f>C78-D78</f>
        <v>0</v>
      </c>
      <c r="F78" s="209">
        <f>J24</f>
        <v>1.0504201680672269</v>
      </c>
      <c r="G78" s="210">
        <f>E78*F78</f>
        <v>0</v>
      </c>
      <c r="H78" s="61"/>
      <c r="I78" s="4"/>
      <c r="J78" s="5"/>
    </row>
    <row r="79" spans="1:10" ht="14" x14ac:dyDescent="0.15">
      <c r="A79" s="205">
        <v>2</v>
      </c>
      <c r="B79" s="221" t="s">
        <v>10</v>
      </c>
      <c r="C79" s="222"/>
      <c r="D79" s="210">
        <f>C13</f>
        <v>0</v>
      </c>
      <c r="E79" s="208">
        <f>C79-D79</f>
        <v>0</v>
      </c>
      <c r="F79" s="209">
        <f>J66</f>
        <v>8.2910821730811701</v>
      </c>
      <c r="G79" s="210">
        <f>E79*F79</f>
        <v>0</v>
      </c>
      <c r="H79" s="61"/>
      <c r="I79" s="4"/>
      <c r="J79" s="5"/>
    </row>
    <row r="80" spans="1:10" ht="15" thickBot="1" x14ac:dyDescent="0.2">
      <c r="A80" s="211"/>
      <c r="B80" s="212"/>
      <c r="C80" s="211"/>
      <c r="D80" s="215"/>
      <c r="E80" s="211"/>
      <c r="F80" s="214"/>
      <c r="G80" s="215"/>
      <c r="H80" s="33"/>
      <c r="I80" s="4"/>
      <c r="J80" s="5"/>
    </row>
    <row r="81" spans="1:10" ht="15" thickBot="1" x14ac:dyDescent="0.2">
      <c r="A81" s="43" t="s">
        <v>9</v>
      </c>
      <c r="B81" s="44" t="s">
        <v>10</v>
      </c>
      <c r="C81" s="43"/>
      <c r="D81" s="45">
        <f>SUM(D77:D80)</f>
        <v>0</v>
      </c>
      <c r="E81" s="43"/>
      <c r="F81" s="99"/>
      <c r="G81" s="45">
        <f>SUM(G77:G80)</f>
        <v>0</v>
      </c>
      <c r="H81" s="61"/>
      <c r="I81" s="4"/>
      <c r="J81" s="5"/>
    </row>
    <row r="82" spans="1:10" ht="14" x14ac:dyDescent="0.15">
      <c r="A82" s="42"/>
      <c r="B82" s="32"/>
      <c r="C82" s="42"/>
      <c r="D82" s="30"/>
      <c r="E82" s="42"/>
      <c r="F82" s="97"/>
      <c r="G82" s="30"/>
      <c r="H82" s="33"/>
      <c r="I82" s="4"/>
      <c r="J82" s="5"/>
    </row>
    <row r="83" spans="1:10" ht="14" x14ac:dyDescent="0.15">
      <c r="A83" s="223">
        <f>G12</f>
        <v>50</v>
      </c>
      <c r="B83" s="218" t="s">
        <v>11</v>
      </c>
      <c r="C83" s="202">
        <f>G11</f>
        <v>0</v>
      </c>
      <c r="D83" s="204"/>
      <c r="E83" s="202">
        <f>C83-D83</f>
        <v>0</v>
      </c>
      <c r="F83" s="224">
        <f>1/(1+$G$13)^A83</f>
        <v>11.699103436851367</v>
      </c>
      <c r="G83" s="220">
        <f>E83*F83</f>
        <v>0</v>
      </c>
      <c r="H83" s="61"/>
      <c r="I83" s="4"/>
      <c r="J83" s="5"/>
    </row>
    <row r="84" spans="1:10" ht="15" thickBot="1" x14ac:dyDescent="0.2">
      <c r="A84" s="46"/>
      <c r="B84" s="47"/>
      <c r="C84" s="46"/>
      <c r="D84" s="48"/>
      <c r="E84" s="46"/>
      <c r="F84" s="100"/>
      <c r="G84" s="48"/>
      <c r="H84" s="62"/>
      <c r="I84" s="4"/>
      <c r="J84" s="5"/>
    </row>
    <row r="85" spans="1:10" ht="6.75" customHeight="1" thickBot="1" x14ac:dyDescent="0.2">
      <c r="A85" s="64"/>
      <c r="B85" s="65"/>
      <c r="C85" s="67"/>
      <c r="D85" s="68"/>
      <c r="E85" s="67"/>
      <c r="F85" s="101"/>
      <c r="G85" s="66"/>
      <c r="H85" s="62"/>
      <c r="I85" s="4"/>
      <c r="J85" s="5"/>
    </row>
    <row r="86" spans="1:10" ht="18" thickTop="1" thickBot="1" x14ac:dyDescent="0.25">
      <c r="A86" s="49" t="s">
        <v>8</v>
      </c>
      <c r="B86" s="102" t="s">
        <v>40</v>
      </c>
      <c r="C86" s="71"/>
      <c r="D86" s="71"/>
      <c r="E86" s="71"/>
      <c r="F86" s="103"/>
      <c r="G86" s="63">
        <f>G75+G81+G83</f>
        <v>48221.578729167188</v>
      </c>
      <c r="H86" s="61"/>
      <c r="I86" s="4"/>
      <c r="J86" s="5"/>
    </row>
    <row r="87" spans="1:10" ht="15" thickTop="1" thickBot="1" x14ac:dyDescent="0.2">
      <c r="A87" s="23"/>
      <c r="B87" s="24"/>
      <c r="C87" s="24"/>
      <c r="D87" s="24"/>
      <c r="E87" s="24"/>
      <c r="F87" s="24"/>
      <c r="G87" s="24"/>
      <c r="H87" s="24"/>
      <c r="I87" s="20"/>
      <c r="J87" s="21"/>
    </row>
    <row r="88" spans="1:10" ht="16" thickTop="1" thickBot="1" x14ac:dyDescent="0.2">
      <c r="A88" s="104" t="s">
        <v>41</v>
      </c>
      <c r="B88" s="71"/>
      <c r="C88" s="71"/>
      <c r="D88" s="71"/>
      <c r="E88" s="71"/>
      <c r="F88" s="71"/>
      <c r="G88" s="71"/>
      <c r="H88" s="71"/>
      <c r="I88" s="72"/>
      <c r="J88" s="73"/>
    </row>
    <row r="89" spans="1:10" ht="14" thickTop="1" x14ac:dyDescent="0.15">
      <c r="A89" s="1"/>
      <c r="B89" s="1"/>
      <c r="C89" s="1"/>
      <c r="D89" s="1"/>
      <c r="E89" s="1"/>
      <c r="F89" s="1"/>
      <c r="G89" s="1"/>
      <c r="H89" s="1"/>
    </row>
    <row r="90" spans="1:10" ht="16" x14ac:dyDescent="0.2">
      <c r="A90" s="13"/>
      <c r="B90" s="1"/>
      <c r="C90" s="1"/>
      <c r="D90" s="1"/>
      <c r="E90" s="1"/>
      <c r="F90" s="1"/>
      <c r="G90" s="1"/>
      <c r="H90" s="1"/>
    </row>
    <row r="92" spans="1:10" x14ac:dyDescent="0.15">
      <c r="A92" s="1"/>
    </row>
    <row r="93" spans="1:10" x14ac:dyDescent="0.15">
      <c r="A93" s="1"/>
    </row>
  </sheetData>
  <phoneticPr fontId="14" type="noConversion"/>
  <printOptions horizontalCentered="1" verticalCentered="1" headings="1"/>
  <pageMargins left="0.78740157480314965" right="0.78740157480314965" top="0.62992125984251968" bottom="0.47244094488188981" header="0.59055118110236227" footer="0.27559055118110237"/>
  <pageSetup paperSize="9" scale="70" orientation="landscape" horizontalDpi="300" verticalDpi="300"/>
  <headerFooter alignWithMargins="0">
    <oddFooter>&amp;L&amp;"Times New Roman,Standaard"&amp;12&amp;A&amp;C&amp;"Times New Roman,Standaard"&amp;F&amp;R&amp;"Times New Roman,Standaard"&amp;14 3-3-110M Blatt 02</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6">
    <pageSetUpPr fitToPage="1"/>
  </sheetPr>
  <dimension ref="A1:I83"/>
  <sheetViews>
    <sheetView topLeftCell="A45" workbookViewId="0">
      <selection activeCell="E82" sqref="E82"/>
    </sheetView>
  </sheetViews>
  <sheetFormatPr baseColWidth="10" defaultColWidth="11.5" defaultRowHeight="13" x14ac:dyDescent="0.15"/>
  <cols>
    <col min="1" max="1" width="12" customWidth="1"/>
    <col min="2" max="6" width="17.6640625" customWidth="1"/>
    <col min="7" max="7" width="4.5" customWidth="1"/>
    <col min="8" max="9" width="17.6640625" customWidth="1"/>
  </cols>
  <sheetData>
    <row r="1" spans="1:9" ht="24" thickBot="1" x14ac:dyDescent="0.3">
      <c r="A1" s="74" t="s">
        <v>22</v>
      </c>
      <c r="B1" s="25"/>
      <c r="C1" s="25"/>
      <c r="D1" s="25"/>
      <c r="E1" s="25"/>
      <c r="F1" s="75"/>
      <c r="G1" s="75"/>
      <c r="H1" s="25"/>
      <c r="I1" s="161" t="s">
        <v>42</v>
      </c>
    </row>
    <row r="2" spans="1:9" ht="14" thickTop="1" x14ac:dyDescent="0.15"/>
    <row r="3" spans="1:9" ht="14" thickBot="1" x14ac:dyDescent="0.2"/>
    <row r="4" spans="1:9" ht="17" thickTop="1" x14ac:dyDescent="0.2">
      <c r="A4" s="53" t="s">
        <v>43</v>
      </c>
      <c r="B4" s="50"/>
      <c r="C4" s="50"/>
      <c r="D4" s="187" t="str">
        <f>IF(ISBLANK('NCW-1 Regulier'!C4),"",'NCW-1 Regulier'!C4)</f>
        <v xml:space="preserve">Investering PITH- Veiligheidssysteeem in in 100 woningen </v>
      </c>
      <c r="E4" s="187"/>
      <c r="F4" s="187"/>
      <c r="G4" s="187"/>
      <c r="H4" s="187"/>
      <c r="I4" s="111"/>
    </row>
    <row r="5" spans="1:9" x14ac:dyDescent="0.15">
      <c r="A5" s="113"/>
      <c r="B5" s="4"/>
      <c r="C5" s="4"/>
      <c r="D5" s="4"/>
      <c r="E5" s="4"/>
      <c r="F5" s="4"/>
      <c r="G5" s="4"/>
      <c r="I5" s="114"/>
    </row>
    <row r="6" spans="1:9" ht="14" x14ac:dyDescent="0.15">
      <c r="A6" s="113"/>
      <c r="B6" s="162"/>
      <c r="C6" s="162" t="s">
        <v>14</v>
      </c>
      <c r="D6" s="194" t="str">
        <f>IF(ISBLANK('NCW-1 Regulier'!C6),"",'NCW-1 Regulier'!C6)</f>
        <v>André Tijssen</v>
      </c>
      <c r="E6" s="194"/>
      <c r="F6" s="4"/>
      <c r="G6" s="4"/>
      <c r="I6" s="114"/>
    </row>
    <row r="7" spans="1:9" ht="6" customHeight="1" x14ac:dyDescent="0.15">
      <c r="A7" s="113"/>
      <c r="B7" s="162"/>
      <c r="C7" s="4"/>
      <c r="D7" s="59"/>
      <c r="E7" s="59"/>
      <c r="F7" s="4"/>
      <c r="G7" s="4"/>
      <c r="I7" s="114"/>
    </row>
    <row r="8" spans="1:9" ht="15" thickBot="1" x14ac:dyDescent="0.2">
      <c r="A8" s="112"/>
      <c r="B8" s="116"/>
      <c r="C8" s="116" t="s">
        <v>16</v>
      </c>
      <c r="D8" s="188" t="str">
        <f>IF(ISBLANK('NCW-1 Regulier'!G6),"",'NCW-1 Regulier'!G6)</f>
        <v>André Tijssen</v>
      </c>
      <c r="E8" s="188"/>
      <c r="F8" s="51"/>
      <c r="G8" s="163"/>
      <c r="H8" s="164"/>
      <c r="I8" s="115"/>
    </row>
    <row r="9" spans="1:9" ht="14" thickTop="1" x14ac:dyDescent="0.15">
      <c r="A9" s="1"/>
      <c r="B9" s="1"/>
      <c r="C9" s="1"/>
    </row>
    <row r="10" spans="1:9" ht="14" thickBot="1" x14ac:dyDescent="0.2">
      <c r="A10" s="1"/>
      <c r="B10" s="1"/>
      <c r="C10" s="1"/>
    </row>
    <row r="11" spans="1:9" ht="19" thickTop="1" x14ac:dyDescent="0.2">
      <c r="A11" s="128" t="s">
        <v>0</v>
      </c>
      <c r="B11" s="119"/>
      <c r="C11" s="119"/>
      <c r="D11" s="11"/>
      <c r="E11" s="11"/>
      <c r="F11" s="11"/>
      <c r="G11" s="11"/>
      <c r="H11" s="11"/>
      <c r="I11" s="12"/>
    </row>
    <row r="12" spans="1:9" ht="17" thickBot="1" x14ac:dyDescent="0.25">
      <c r="A12" s="129"/>
      <c r="B12" s="130"/>
      <c r="C12" s="130"/>
      <c r="D12" s="59"/>
      <c r="E12" s="59"/>
      <c r="F12" s="59"/>
      <c r="G12" s="59"/>
      <c r="H12" s="167" t="s">
        <v>53</v>
      </c>
      <c r="I12" s="168"/>
    </row>
    <row r="13" spans="1:9" ht="16" thickTop="1" thickBot="1" x14ac:dyDescent="0.2">
      <c r="A13" s="131" t="s">
        <v>46</v>
      </c>
      <c r="C13" s="106"/>
      <c r="D13" s="195">
        <f>'NCW-1 Regulier'!G13</f>
        <v>4.8000000000000001E-2</v>
      </c>
      <c r="E13" s="121"/>
      <c r="F13" s="132"/>
      <c r="G13" s="132"/>
      <c r="H13" s="167" t="s">
        <v>54</v>
      </c>
      <c r="I13" s="168"/>
    </row>
    <row r="14" spans="1:9" ht="15" thickTop="1" x14ac:dyDescent="0.15">
      <c r="A14" s="131"/>
      <c r="B14" s="105"/>
      <c r="C14" s="105"/>
      <c r="D14" s="133"/>
      <c r="E14" s="105"/>
      <c r="F14" s="132"/>
      <c r="G14" s="132"/>
      <c r="H14" s="167" t="s">
        <v>55</v>
      </c>
      <c r="I14" s="168"/>
    </row>
    <row r="15" spans="1:9" ht="14" thickBot="1" x14ac:dyDescent="0.2">
      <c r="A15" s="16"/>
      <c r="B15" s="6"/>
      <c r="C15" s="6"/>
      <c r="D15" s="6"/>
      <c r="E15" s="6"/>
      <c r="F15" s="6"/>
      <c r="G15" s="6"/>
      <c r="H15" s="6"/>
      <c r="I15" s="7"/>
    </row>
    <row r="16" spans="1:9" ht="14" thickTop="1" x14ac:dyDescent="0.15">
      <c r="A16" s="22"/>
      <c r="B16" s="17"/>
      <c r="C16" s="17"/>
      <c r="D16" s="17"/>
      <c r="E16" s="17"/>
      <c r="F16" s="17"/>
      <c r="G16" s="17"/>
      <c r="H16" s="17"/>
      <c r="I16" s="18"/>
    </row>
    <row r="17" spans="1:9" ht="19" thickBot="1" x14ac:dyDescent="0.25">
      <c r="A17" s="27" t="s">
        <v>5</v>
      </c>
      <c r="B17" s="4"/>
      <c r="C17" s="4"/>
      <c r="D17" s="4"/>
      <c r="E17" s="4"/>
      <c r="F17" s="4"/>
      <c r="G17" s="4"/>
      <c r="H17" s="4"/>
      <c r="I17" s="7"/>
    </row>
    <row r="18" spans="1:9" ht="15" thickTop="1" x14ac:dyDescent="0.15">
      <c r="A18" s="134" t="s">
        <v>6</v>
      </c>
      <c r="B18" s="35" t="s">
        <v>48</v>
      </c>
      <c r="C18" s="169" t="s">
        <v>12</v>
      </c>
      <c r="D18" s="169" t="s">
        <v>13</v>
      </c>
      <c r="E18" s="170" t="s">
        <v>57</v>
      </c>
      <c r="F18" s="171" t="s">
        <v>56</v>
      </c>
      <c r="G18" s="158"/>
      <c r="H18" s="134" t="s">
        <v>23</v>
      </c>
      <c r="I18" s="139" t="s">
        <v>26</v>
      </c>
    </row>
    <row r="19" spans="1:9" ht="15" thickBot="1" x14ac:dyDescent="0.2">
      <c r="A19" s="135" t="s">
        <v>7</v>
      </c>
      <c r="B19" s="38" t="s">
        <v>47</v>
      </c>
      <c r="C19" s="172" t="s">
        <v>49</v>
      </c>
      <c r="D19" s="172" t="s">
        <v>49</v>
      </c>
      <c r="E19" s="172" t="s">
        <v>58</v>
      </c>
      <c r="F19" s="173" t="s">
        <v>24</v>
      </c>
      <c r="G19" s="159"/>
      <c r="H19" s="135" t="s">
        <v>24</v>
      </c>
      <c r="I19" s="140" t="s">
        <v>27</v>
      </c>
    </row>
    <row r="20" spans="1:9" ht="14" thickTop="1" x14ac:dyDescent="0.15">
      <c r="A20" s="136" t="s">
        <v>30</v>
      </c>
      <c r="B20" s="88" t="s">
        <v>31</v>
      </c>
      <c r="C20" s="174" t="s">
        <v>35</v>
      </c>
      <c r="D20" s="174" t="s">
        <v>32</v>
      </c>
      <c r="E20" s="175" t="s">
        <v>50</v>
      </c>
      <c r="F20" s="176" t="s">
        <v>37</v>
      </c>
      <c r="G20" s="160"/>
      <c r="H20" s="136" t="s">
        <v>51</v>
      </c>
      <c r="I20" s="141" t="s">
        <v>52</v>
      </c>
    </row>
    <row r="21" spans="1:9" ht="14" x14ac:dyDescent="0.15">
      <c r="A21" s="137"/>
      <c r="B21" s="10"/>
      <c r="C21" s="177"/>
      <c r="D21" s="177"/>
      <c r="E21" s="177"/>
      <c r="F21" s="127"/>
      <c r="G21" s="59"/>
      <c r="H21" s="142"/>
      <c r="I21" s="117"/>
    </row>
    <row r="22" spans="1:9" ht="14" x14ac:dyDescent="0.15">
      <c r="A22" s="138">
        <v>0</v>
      </c>
      <c r="B22" s="193">
        <f>-'NCW-1 Regulier'!C11</f>
        <v>0</v>
      </c>
      <c r="C22" s="183"/>
      <c r="D22" s="183"/>
      <c r="E22" s="183"/>
      <c r="F22" s="184"/>
      <c r="G22" s="125"/>
      <c r="H22" s="148">
        <f>SUM(B22:F22)</f>
        <v>0</v>
      </c>
      <c r="I22" s="143">
        <f>-PV($D$13,A22,0,H22)</f>
        <v>0</v>
      </c>
    </row>
    <row r="23" spans="1:9" ht="14" x14ac:dyDescent="0.15">
      <c r="A23" s="41">
        <v>1</v>
      </c>
      <c r="B23" s="193">
        <f>-'NCW-1 Regulier'!C24</f>
        <v>0</v>
      </c>
      <c r="C23" s="196">
        <f>'NCW-1 Regulier'!C24</f>
        <v>0</v>
      </c>
      <c r="D23" s="196">
        <f>-'NCW-1 Regulier'!D23</f>
        <v>315</v>
      </c>
      <c r="E23" s="196"/>
      <c r="F23" s="197"/>
      <c r="G23" s="125"/>
      <c r="H23" s="149">
        <f>SUM(B23:F23)</f>
        <v>315</v>
      </c>
      <c r="I23" s="143">
        <f>-PV($D$13,A23,0,H23)</f>
        <v>300.57251908396944</v>
      </c>
    </row>
    <row r="24" spans="1:9" ht="14" x14ac:dyDescent="0.15">
      <c r="A24" s="41">
        <v>2</v>
      </c>
      <c r="B24" s="193">
        <f>-'NCW-1 Regulier'!C25</f>
        <v>0</v>
      </c>
      <c r="C24" s="196">
        <f>'NCW-1 Regulier'!C25</f>
        <v>0</v>
      </c>
      <c r="D24" s="196">
        <f>-'NCW-1 Regulier'!D24</f>
        <v>315</v>
      </c>
      <c r="E24" s="196"/>
      <c r="F24" s="197"/>
      <c r="G24" s="125"/>
      <c r="H24" s="149">
        <f>SUM(B24:F24)</f>
        <v>315</v>
      </c>
      <c r="I24" s="143">
        <f>-PV($D$13,A24,0,H24)</f>
        <v>286.80583882058153</v>
      </c>
    </row>
    <row r="25" spans="1:9" ht="14" x14ac:dyDescent="0.15">
      <c r="A25" s="41">
        <v>3</v>
      </c>
      <c r="B25" s="193">
        <f>-'NCW-1 Regulier'!C26</f>
        <v>0</v>
      </c>
      <c r="C25" s="196">
        <f>'NCW-1 Regulier'!C26</f>
        <v>0</v>
      </c>
      <c r="D25" s="196">
        <f>-'NCW-1 Regulier'!D25</f>
        <v>615</v>
      </c>
      <c r="E25" s="196"/>
      <c r="F25" s="197"/>
      <c r="G25" s="125"/>
      <c r="H25" s="149">
        <f>SUM(B25:F25)</f>
        <v>615</v>
      </c>
      <c r="I25" s="143">
        <f>-PV($D$13,A25,0,H25)</f>
        <v>534.30749689403137</v>
      </c>
    </row>
    <row r="26" spans="1:9" ht="14" x14ac:dyDescent="0.15">
      <c r="A26" s="41">
        <v>4</v>
      </c>
      <c r="B26" s="193">
        <f>-'NCW-1 Regulier'!C27</f>
        <v>0</v>
      </c>
      <c r="C26" s="196">
        <f>'NCW-1 Regulier'!C27</f>
        <v>0</v>
      </c>
      <c r="D26" s="196">
        <f>-'NCW-1 Regulier'!D26</f>
        <v>315</v>
      </c>
      <c r="E26" s="196"/>
      <c r="F26" s="197"/>
      <c r="G26" s="125"/>
      <c r="H26" s="149">
        <f>SUM(B26:F26)</f>
        <v>315</v>
      </c>
      <c r="I26" s="143">
        <f>-PV($D$13,A26,0,H26)</f>
        <v>261.13520375103928</v>
      </c>
    </row>
    <row r="27" spans="1:9" ht="14" x14ac:dyDescent="0.15">
      <c r="A27" s="41">
        <v>5</v>
      </c>
      <c r="B27" s="193">
        <f>-'NCW-1 Regulier'!C28</f>
        <v>0</v>
      </c>
      <c r="C27" s="196">
        <f>'NCW-1 Regulier'!C28</f>
        <v>0</v>
      </c>
      <c r="D27" s="196">
        <f>-'NCW-1 Regulier'!D27</f>
        <v>315</v>
      </c>
      <c r="E27" s="196"/>
      <c r="F27" s="197"/>
      <c r="G27" s="125"/>
      <c r="H27" s="149">
        <f t="shared" ref="H27:H72" si="0">SUM(B27:F27)</f>
        <v>315</v>
      </c>
      <c r="I27" s="143">
        <f t="shared" ref="I27:I72" si="1">-PV($D$13,A27,0,H27)</f>
        <v>249.1748127395413</v>
      </c>
    </row>
    <row r="28" spans="1:9" ht="14" x14ac:dyDescent="0.15">
      <c r="A28" s="41">
        <v>6</v>
      </c>
      <c r="B28" s="193">
        <f>-'NCW-1 Regulier'!C29</f>
        <v>0</v>
      </c>
      <c r="C28" s="196">
        <f>'NCW-1 Regulier'!C29</f>
        <v>0</v>
      </c>
      <c r="D28" s="196">
        <f>-'NCW-1 Regulier'!D28</f>
        <v>315</v>
      </c>
      <c r="E28" s="196"/>
      <c r="F28" s="197"/>
      <c r="G28" s="125"/>
      <c r="H28" s="149">
        <f t="shared" si="0"/>
        <v>315</v>
      </c>
      <c r="I28" s="143">
        <f t="shared" si="1"/>
        <v>237.76222589650882</v>
      </c>
    </row>
    <row r="29" spans="1:9" ht="14" x14ac:dyDescent="0.15">
      <c r="A29" s="41">
        <v>7</v>
      </c>
      <c r="B29" s="193">
        <f>-'NCW-1 Regulier'!C30</f>
        <v>0</v>
      </c>
      <c r="C29" s="196">
        <f>'NCW-1 Regulier'!C30</f>
        <v>0</v>
      </c>
      <c r="D29" s="196">
        <f>-'NCW-1 Regulier'!D29</f>
        <v>15</v>
      </c>
      <c r="E29" s="196"/>
      <c r="F29" s="197"/>
      <c r="G29" s="125"/>
      <c r="H29" s="149">
        <f t="shared" si="0"/>
        <v>15</v>
      </c>
      <c r="I29" s="143">
        <f t="shared" si="1"/>
        <v>10.803445378794477</v>
      </c>
    </row>
    <row r="30" spans="1:9" ht="14" x14ac:dyDescent="0.15">
      <c r="A30" s="41">
        <v>8</v>
      </c>
      <c r="B30" s="193">
        <f>-'NCW-1 Regulier'!C31</f>
        <v>0</v>
      </c>
      <c r="C30" s="196">
        <f>'NCW-1 Regulier'!C31</f>
        <v>0</v>
      </c>
      <c r="D30" s="196">
        <f>-'NCW-1 Regulier'!D30</f>
        <v>15</v>
      </c>
      <c r="E30" s="196"/>
      <c r="F30" s="197"/>
      <c r="G30" s="125"/>
      <c r="H30" s="149">
        <f t="shared" si="0"/>
        <v>15</v>
      </c>
      <c r="I30" s="143">
        <f t="shared" si="1"/>
        <v>10.308631086635948</v>
      </c>
    </row>
    <row r="31" spans="1:9" ht="14" x14ac:dyDescent="0.15">
      <c r="A31" s="41">
        <v>9</v>
      </c>
      <c r="B31" s="193">
        <f>-'NCW-1 Regulier'!C32</f>
        <v>0</v>
      </c>
      <c r="C31" s="196">
        <f>'NCW-1 Regulier'!C32</f>
        <v>0</v>
      </c>
      <c r="D31" s="196">
        <f>-'NCW-1 Regulier'!D31</f>
        <v>315</v>
      </c>
      <c r="E31" s="196"/>
      <c r="F31" s="197"/>
      <c r="G31" s="125"/>
      <c r="H31" s="149">
        <f t="shared" si="0"/>
        <v>315</v>
      </c>
      <c r="I31" s="143">
        <f t="shared" si="1"/>
        <v>206.56608093449898</v>
      </c>
    </row>
    <row r="32" spans="1:9" ht="14" x14ac:dyDescent="0.15">
      <c r="A32" s="41">
        <v>10</v>
      </c>
      <c r="B32" s="193">
        <f>-'NCW-1 Regulier'!C33</f>
        <v>0</v>
      </c>
      <c r="C32" s="196">
        <f>'NCW-1 Regulier'!C33</f>
        <v>0</v>
      </c>
      <c r="D32" s="196">
        <f>-'NCW-1 Regulier'!D32</f>
        <v>315</v>
      </c>
      <c r="E32" s="196"/>
      <c r="F32" s="197"/>
      <c r="G32" s="125"/>
      <c r="H32" s="149">
        <f t="shared" si="0"/>
        <v>315</v>
      </c>
      <c r="I32" s="143">
        <f t="shared" si="1"/>
        <v>197.1050390596364</v>
      </c>
    </row>
    <row r="33" spans="1:9" ht="14" x14ac:dyDescent="0.15">
      <c r="A33" s="41">
        <v>11</v>
      </c>
      <c r="B33" s="193">
        <f>-'NCW-1 Regulier'!C34</f>
        <v>0</v>
      </c>
      <c r="C33" s="196">
        <f>'NCW-1 Regulier'!C34</f>
        <v>0</v>
      </c>
      <c r="D33" s="196">
        <f>-'NCW-1 Regulier'!D33</f>
        <v>0</v>
      </c>
      <c r="E33" s="196"/>
      <c r="F33" s="197"/>
      <c r="G33" s="125"/>
      <c r="H33" s="149">
        <f t="shared" si="0"/>
        <v>0</v>
      </c>
      <c r="I33" s="143">
        <f t="shared" si="1"/>
        <v>0</v>
      </c>
    </row>
    <row r="34" spans="1:9" ht="14" x14ac:dyDescent="0.15">
      <c r="A34" s="41">
        <v>12</v>
      </c>
      <c r="B34" s="193">
        <f>-'NCW-1 Regulier'!C35</f>
        <v>0</v>
      </c>
      <c r="C34" s="196">
        <f>'NCW-1 Regulier'!C35</f>
        <v>0</v>
      </c>
      <c r="D34" s="196">
        <f>-'NCW-1 Regulier'!D34</f>
        <v>315</v>
      </c>
      <c r="E34" s="196"/>
      <c r="F34" s="197"/>
      <c r="G34" s="125"/>
      <c r="H34" s="149">
        <f t="shared" si="0"/>
        <v>315</v>
      </c>
      <c r="I34" s="143">
        <f t="shared" si="1"/>
        <v>179.46309861353171</v>
      </c>
    </row>
    <row r="35" spans="1:9" ht="14" x14ac:dyDescent="0.15">
      <c r="A35" s="41">
        <v>13</v>
      </c>
      <c r="B35" s="193">
        <f>-'NCW-1 Regulier'!C36</f>
        <v>0</v>
      </c>
      <c r="C35" s="196">
        <f>'NCW-1 Regulier'!C36</f>
        <v>0</v>
      </c>
      <c r="D35" s="196">
        <f>-'NCW-1 Regulier'!D35</f>
        <v>15</v>
      </c>
      <c r="E35" s="196"/>
      <c r="F35" s="197"/>
      <c r="G35" s="125"/>
      <c r="H35" s="149">
        <f t="shared" si="0"/>
        <v>15</v>
      </c>
      <c r="I35" s="143">
        <f t="shared" si="1"/>
        <v>8.1544483194080222</v>
      </c>
    </row>
    <row r="36" spans="1:9" ht="14" x14ac:dyDescent="0.15">
      <c r="A36" s="41">
        <v>14</v>
      </c>
      <c r="B36" s="193">
        <f>-'NCW-1 Regulier'!C37</f>
        <v>0</v>
      </c>
      <c r="C36" s="196">
        <f>'NCW-1 Regulier'!C37</f>
        <v>0</v>
      </c>
      <c r="D36" s="196">
        <f>-'NCW-1 Regulier'!D36</f>
        <v>315</v>
      </c>
      <c r="E36" s="196"/>
      <c r="F36" s="197"/>
      <c r="G36" s="125"/>
      <c r="H36" s="149">
        <f t="shared" si="0"/>
        <v>315</v>
      </c>
      <c r="I36" s="143">
        <f t="shared" si="1"/>
        <v>163.40020487363398</v>
      </c>
    </row>
    <row r="37" spans="1:9" ht="14" x14ac:dyDescent="0.15">
      <c r="A37" s="41">
        <v>15</v>
      </c>
      <c r="B37" s="193">
        <f>-'NCW-1 Regulier'!C38</f>
        <v>0</v>
      </c>
      <c r="C37" s="196">
        <f>'NCW-1 Regulier'!C38</f>
        <v>0</v>
      </c>
      <c r="D37" s="196">
        <f>-'NCW-1 Regulier'!D37</f>
        <v>15</v>
      </c>
      <c r="E37" s="196"/>
      <c r="F37" s="197"/>
      <c r="G37" s="125"/>
      <c r="H37" s="149">
        <f t="shared" si="0"/>
        <v>15</v>
      </c>
      <c r="I37" s="143">
        <f t="shared" si="1"/>
        <v>7.4245821916409493</v>
      </c>
    </row>
    <row r="38" spans="1:9" ht="14" x14ac:dyDescent="0.15">
      <c r="A38" s="41">
        <v>16</v>
      </c>
      <c r="B38" s="193">
        <f>-'NCW-1 Regulier'!C39</f>
        <v>0</v>
      </c>
      <c r="C38" s="196">
        <f>'NCW-1 Regulier'!C39</f>
        <v>0</v>
      </c>
      <c r="D38" s="196">
        <f>-'NCW-1 Regulier'!D38</f>
        <v>15</v>
      </c>
      <c r="E38" s="196"/>
      <c r="F38" s="197"/>
      <c r="G38" s="125"/>
      <c r="H38" s="149">
        <f t="shared" si="0"/>
        <v>15</v>
      </c>
      <c r="I38" s="143">
        <f t="shared" si="1"/>
        <v>7.0845249920238036</v>
      </c>
    </row>
    <row r="39" spans="1:9" ht="14" x14ac:dyDescent="0.15">
      <c r="A39" s="41">
        <v>17</v>
      </c>
      <c r="B39" s="193">
        <f>-'NCW-1 Regulier'!C40</f>
        <v>0</v>
      </c>
      <c r="C39" s="196">
        <f>'NCW-1 Regulier'!C40</f>
        <v>0</v>
      </c>
      <c r="D39" s="196">
        <f>-'NCW-1 Regulier'!D39</f>
        <v>15</v>
      </c>
      <c r="E39" s="196"/>
      <c r="F39" s="197"/>
      <c r="G39" s="125"/>
      <c r="H39" s="149">
        <f t="shared" si="0"/>
        <v>15</v>
      </c>
      <c r="I39" s="143">
        <f t="shared" si="1"/>
        <v>6.7600429313204229</v>
      </c>
    </row>
    <row r="40" spans="1:9" ht="14" x14ac:dyDescent="0.15">
      <c r="A40" s="41">
        <v>18</v>
      </c>
      <c r="B40" s="193">
        <f>-'NCW-1 Regulier'!C41</f>
        <v>0</v>
      </c>
      <c r="C40" s="196">
        <f>'NCW-1 Regulier'!C41</f>
        <v>0</v>
      </c>
      <c r="D40" s="196">
        <f>-'NCW-1 Regulier'!D40</f>
        <v>315</v>
      </c>
      <c r="E40" s="196"/>
      <c r="F40" s="197"/>
      <c r="G40" s="125"/>
      <c r="H40" s="149">
        <f t="shared" si="0"/>
        <v>315</v>
      </c>
      <c r="I40" s="143">
        <f t="shared" si="1"/>
        <v>135.45887553218401</v>
      </c>
    </row>
    <row r="41" spans="1:9" ht="14" x14ac:dyDescent="0.15">
      <c r="A41" s="41">
        <v>19</v>
      </c>
      <c r="B41" s="193">
        <f>-'NCW-1 Regulier'!C42</f>
        <v>0</v>
      </c>
      <c r="C41" s="196">
        <f>'NCW-1 Regulier'!C42</f>
        <v>0</v>
      </c>
      <c r="D41" s="196">
        <f>-'NCW-1 Regulier'!D41</f>
        <v>315</v>
      </c>
      <c r="E41" s="196"/>
      <c r="F41" s="197"/>
      <c r="G41" s="125"/>
      <c r="H41" s="149">
        <f t="shared" si="0"/>
        <v>315</v>
      </c>
      <c r="I41" s="143">
        <f t="shared" si="1"/>
        <v>129.25465222536647</v>
      </c>
    </row>
    <row r="42" spans="1:9" ht="14" x14ac:dyDescent="0.15">
      <c r="A42" s="41">
        <v>20</v>
      </c>
      <c r="B42" s="193">
        <f>-'NCW-1 Regulier'!C43</f>
        <v>0</v>
      </c>
      <c r="C42" s="196">
        <f>'NCW-1 Regulier'!C43</f>
        <v>0</v>
      </c>
      <c r="D42" s="196">
        <f>-'NCW-1 Regulier'!D42</f>
        <v>315</v>
      </c>
      <c r="E42" s="196"/>
      <c r="F42" s="197"/>
      <c r="G42" s="125"/>
      <c r="H42" s="149">
        <f t="shared" si="0"/>
        <v>315</v>
      </c>
      <c r="I42" s="143">
        <f t="shared" si="1"/>
        <v>123.33459181809772</v>
      </c>
    </row>
    <row r="43" spans="1:9" ht="14" x14ac:dyDescent="0.15">
      <c r="A43" s="41">
        <v>21</v>
      </c>
      <c r="B43" s="193">
        <f>-'NCW-1 Regulier'!C44</f>
        <v>0</v>
      </c>
      <c r="C43" s="196">
        <f>'NCW-1 Regulier'!C44</f>
        <v>0</v>
      </c>
      <c r="D43" s="196">
        <f>-'NCW-1 Regulier'!D43</f>
        <v>15</v>
      </c>
      <c r="E43" s="196"/>
      <c r="F43" s="197"/>
      <c r="G43" s="125"/>
      <c r="H43" s="149">
        <f t="shared" si="0"/>
        <v>15</v>
      </c>
      <c r="I43" s="143">
        <f t="shared" si="1"/>
        <v>5.604079962654386</v>
      </c>
    </row>
    <row r="44" spans="1:9" ht="14" x14ac:dyDescent="0.15">
      <c r="A44" s="41">
        <v>22</v>
      </c>
      <c r="B44" s="193">
        <f>-'NCW-1 Regulier'!C45</f>
        <v>0</v>
      </c>
      <c r="C44" s="196">
        <f>'NCW-1 Regulier'!C45</f>
        <v>0</v>
      </c>
      <c r="D44" s="196">
        <f>-'NCW-1 Regulier'!D44</f>
        <v>315</v>
      </c>
      <c r="E44" s="196"/>
      <c r="F44" s="197"/>
      <c r="G44" s="125"/>
      <c r="H44" s="149">
        <f t="shared" si="0"/>
        <v>315</v>
      </c>
      <c r="I44" s="143">
        <f t="shared" si="1"/>
        <v>112.2954954348684</v>
      </c>
    </row>
    <row r="45" spans="1:9" ht="14" x14ac:dyDescent="0.15">
      <c r="A45" s="41">
        <v>23</v>
      </c>
      <c r="B45" s="193">
        <f>-'NCW-1 Regulier'!C46</f>
        <v>0</v>
      </c>
      <c r="C45" s="196">
        <f>'NCW-1 Regulier'!C46</f>
        <v>0</v>
      </c>
      <c r="D45" s="196">
        <f>-'NCW-1 Regulier'!D45</f>
        <v>615</v>
      </c>
      <c r="E45" s="196"/>
      <c r="F45" s="197"/>
      <c r="G45" s="125"/>
      <c r="H45" s="149">
        <f t="shared" si="0"/>
        <v>615</v>
      </c>
      <c r="I45" s="143">
        <f t="shared" si="1"/>
        <v>209.20189534849166</v>
      </c>
    </row>
    <row r="46" spans="1:9" ht="14" x14ac:dyDescent="0.15">
      <c r="A46" s="41">
        <v>24</v>
      </c>
      <c r="B46" s="193">
        <f>-'NCW-1 Regulier'!C47</f>
        <v>0</v>
      </c>
      <c r="C46" s="196">
        <f>'NCW-1 Regulier'!C47</f>
        <v>0</v>
      </c>
      <c r="D46" s="196">
        <f>-'NCW-1 Regulier'!D46</f>
        <v>15</v>
      </c>
      <c r="E46" s="196"/>
      <c r="F46" s="197"/>
      <c r="G46" s="125"/>
      <c r="H46" s="149">
        <f t="shared" si="0"/>
        <v>15</v>
      </c>
      <c r="I46" s="143">
        <f t="shared" si="1"/>
        <v>4.8687836377883915</v>
      </c>
    </row>
    <row r="47" spans="1:9" ht="14" x14ac:dyDescent="0.15">
      <c r="A47" s="41">
        <v>25</v>
      </c>
      <c r="B47" s="193">
        <f>-'NCW-1 Regulier'!C48</f>
        <v>0</v>
      </c>
      <c r="C47" s="196">
        <f>'NCW-1 Regulier'!C48</f>
        <v>0</v>
      </c>
      <c r="D47" s="196">
        <f>-'NCW-1 Regulier'!D47</f>
        <v>15</v>
      </c>
      <c r="E47" s="196"/>
      <c r="F47" s="197"/>
      <c r="G47" s="125"/>
      <c r="H47" s="149">
        <f t="shared" si="0"/>
        <v>15</v>
      </c>
      <c r="I47" s="143">
        <f t="shared" si="1"/>
        <v>4.6457859139202213</v>
      </c>
    </row>
    <row r="48" spans="1:9" ht="14" x14ac:dyDescent="0.15">
      <c r="A48" s="41">
        <v>26</v>
      </c>
      <c r="B48" s="193">
        <f>-'NCW-1 Regulier'!C49</f>
        <v>0</v>
      </c>
      <c r="C48" s="196">
        <f>'NCW-1 Regulier'!C49</f>
        <v>0</v>
      </c>
      <c r="D48" s="196">
        <f>-'NCW-1 Regulier'!D48</f>
        <v>315</v>
      </c>
      <c r="E48" s="196"/>
      <c r="F48" s="197"/>
      <c r="G48" s="125"/>
      <c r="H48" s="149">
        <f t="shared" si="0"/>
        <v>315</v>
      </c>
      <c r="I48" s="143">
        <f t="shared" si="1"/>
        <v>93.093038351454808</v>
      </c>
    </row>
    <row r="49" spans="1:9" ht="14" x14ac:dyDescent="0.15">
      <c r="A49" s="41">
        <v>27</v>
      </c>
      <c r="B49" s="193">
        <f>-'NCW-1 Regulier'!C50</f>
        <v>0</v>
      </c>
      <c r="C49" s="196">
        <f>'NCW-1 Regulier'!C50</f>
        <v>0</v>
      </c>
      <c r="D49" s="196">
        <f>-'NCW-1 Regulier'!D49</f>
        <v>615</v>
      </c>
      <c r="E49" s="196"/>
      <c r="F49" s="197"/>
      <c r="G49" s="125"/>
      <c r="H49" s="149">
        <f t="shared" si="0"/>
        <v>615</v>
      </c>
      <c r="I49" s="143">
        <f t="shared" si="1"/>
        <v>173.42850656168881</v>
      </c>
    </row>
    <row r="50" spans="1:9" ht="14" x14ac:dyDescent="0.15">
      <c r="A50" s="41">
        <v>28</v>
      </c>
      <c r="B50" s="193">
        <f>-'NCW-1 Regulier'!C51</f>
        <v>0</v>
      </c>
      <c r="C50" s="196">
        <f>'NCW-1 Regulier'!C51</f>
        <v>0</v>
      </c>
      <c r="D50" s="196">
        <f>-'NCW-1 Regulier'!D50</f>
        <v>315</v>
      </c>
      <c r="E50" s="196"/>
      <c r="F50" s="197"/>
      <c r="G50" s="125"/>
      <c r="H50" s="149">
        <f t="shared" si="0"/>
        <v>315</v>
      </c>
      <c r="I50" s="143">
        <f t="shared" si="1"/>
        <v>84.760720484906528</v>
      </c>
    </row>
    <row r="51" spans="1:9" ht="14" x14ac:dyDescent="0.15">
      <c r="A51" s="41">
        <v>29</v>
      </c>
      <c r="B51" s="193">
        <f>-'NCW-1 Regulier'!C52</f>
        <v>0</v>
      </c>
      <c r="C51" s="196">
        <f>'NCW-1 Regulier'!C52</f>
        <v>0</v>
      </c>
      <c r="D51" s="196">
        <f>-'NCW-1 Regulier'!D51</f>
        <v>15</v>
      </c>
      <c r="E51" s="196"/>
      <c r="F51" s="197"/>
      <c r="G51" s="125"/>
      <c r="H51" s="149">
        <f t="shared" si="0"/>
        <v>15</v>
      </c>
      <c r="I51" s="143">
        <f t="shared" si="1"/>
        <v>3.8513595276675088</v>
      </c>
    </row>
    <row r="52" spans="1:9" ht="14" x14ac:dyDescent="0.15">
      <c r="A52" s="41">
        <v>30</v>
      </c>
      <c r="B52" s="193">
        <f>-'NCW-1 Regulier'!C53</f>
        <v>0</v>
      </c>
      <c r="C52" s="196">
        <f>'NCW-1 Regulier'!C53</f>
        <v>0</v>
      </c>
      <c r="D52" s="196">
        <f>-'NCW-1 Regulier'!D52</f>
        <v>315</v>
      </c>
      <c r="E52" s="196"/>
      <c r="F52" s="197"/>
      <c r="G52" s="125"/>
      <c r="H52" s="149">
        <f t="shared" si="0"/>
        <v>315</v>
      </c>
      <c r="I52" s="143">
        <f t="shared" si="1"/>
        <v>77.174189008604642</v>
      </c>
    </row>
    <row r="53" spans="1:9" ht="14" x14ac:dyDescent="0.15">
      <c r="A53" s="41">
        <v>31</v>
      </c>
      <c r="B53" s="193">
        <f>-'NCW-1 Regulier'!C54</f>
        <v>0</v>
      </c>
      <c r="C53" s="196">
        <f>'NCW-1 Regulier'!C54</f>
        <v>0</v>
      </c>
      <c r="D53" s="196">
        <f>-'NCW-1 Regulier'!D53</f>
        <v>15</v>
      </c>
      <c r="E53" s="196"/>
      <c r="F53" s="197"/>
      <c r="G53" s="125"/>
      <c r="H53" s="149">
        <f t="shared" si="0"/>
        <v>15</v>
      </c>
      <c r="I53" s="143">
        <f t="shared" si="1"/>
        <v>3.5066425394676779</v>
      </c>
    </row>
    <row r="54" spans="1:9" ht="14" x14ac:dyDescent="0.15">
      <c r="A54" s="41">
        <v>32</v>
      </c>
      <c r="B54" s="193">
        <f>-'NCW-1 Regulier'!C55</f>
        <v>0</v>
      </c>
      <c r="C54" s="196">
        <f>'NCW-1 Regulier'!C55</f>
        <v>0</v>
      </c>
      <c r="D54" s="196">
        <f>-'NCW-1 Regulier'!D54</f>
        <v>15</v>
      </c>
      <c r="E54" s="196"/>
      <c r="F54" s="197"/>
      <c r="G54" s="125"/>
      <c r="H54" s="149">
        <f t="shared" si="0"/>
        <v>15</v>
      </c>
      <c r="I54" s="143">
        <f t="shared" si="1"/>
        <v>3.3460329575073247</v>
      </c>
    </row>
    <row r="55" spans="1:9" ht="14" x14ac:dyDescent="0.15">
      <c r="A55" s="41">
        <v>33</v>
      </c>
      <c r="B55" s="193">
        <f>-'NCW-1 Regulier'!C56</f>
        <v>0</v>
      </c>
      <c r="C55" s="196">
        <f>'NCW-1 Regulier'!C56</f>
        <v>0</v>
      </c>
      <c r="D55" s="196">
        <f>-'NCW-1 Regulier'!D55</f>
        <v>15</v>
      </c>
      <c r="E55" s="196"/>
      <c r="F55" s="197"/>
      <c r="G55" s="125"/>
      <c r="H55" s="149">
        <f t="shared" si="0"/>
        <v>15</v>
      </c>
      <c r="I55" s="143">
        <f t="shared" si="1"/>
        <v>3.1927795396062257</v>
      </c>
    </row>
    <row r="56" spans="1:9" ht="14" x14ac:dyDescent="0.15">
      <c r="A56" s="41">
        <v>34</v>
      </c>
      <c r="B56" s="193">
        <f>-'NCW-1 Regulier'!C57</f>
        <v>0</v>
      </c>
      <c r="C56" s="196">
        <f>'NCW-1 Regulier'!C57</f>
        <v>0</v>
      </c>
      <c r="D56" s="196">
        <f>-'NCW-1 Regulier'!D56</f>
        <v>315</v>
      </c>
      <c r="E56" s="196"/>
      <c r="F56" s="197"/>
      <c r="G56" s="125"/>
      <c r="H56" s="149">
        <f t="shared" si="0"/>
        <v>315</v>
      </c>
      <c r="I56" s="143">
        <f t="shared" si="1"/>
        <v>63.977452606613298</v>
      </c>
    </row>
    <row r="57" spans="1:9" ht="14" x14ac:dyDescent="0.15">
      <c r="A57" s="41">
        <v>35</v>
      </c>
      <c r="B57" s="193">
        <f>-'NCW-1 Regulier'!C58</f>
        <v>0</v>
      </c>
      <c r="C57" s="196">
        <f>'NCW-1 Regulier'!C58</f>
        <v>0</v>
      </c>
      <c r="D57" s="196">
        <f>-'NCW-1 Regulier'!D57</f>
        <v>15</v>
      </c>
      <c r="E57" s="196"/>
      <c r="F57" s="197"/>
      <c r="G57" s="125"/>
      <c r="H57" s="149">
        <f t="shared" si="0"/>
        <v>15</v>
      </c>
      <c r="I57" s="143">
        <f t="shared" si="1"/>
        <v>2.9070089334157263</v>
      </c>
    </row>
    <row r="58" spans="1:9" ht="14" x14ac:dyDescent="0.15">
      <c r="A58" s="41">
        <v>36</v>
      </c>
      <c r="B58" s="193">
        <f>-'NCW-1 Regulier'!C59</f>
        <v>0</v>
      </c>
      <c r="C58" s="196">
        <f>'NCW-1 Regulier'!C59</f>
        <v>0</v>
      </c>
      <c r="D58" s="196">
        <f>-'NCW-1 Regulier'!D58</f>
        <v>315</v>
      </c>
      <c r="E58" s="196"/>
      <c r="F58" s="197"/>
      <c r="G58" s="125"/>
      <c r="H58" s="149">
        <f t="shared" si="0"/>
        <v>315</v>
      </c>
      <c r="I58" s="143">
        <f t="shared" si="1"/>
        <v>58.251133207757853</v>
      </c>
    </row>
    <row r="59" spans="1:9" ht="14" x14ac:dyDescent="0.15">
      <c r="A59" s="41">
        <v>37</v>
      </c>
      <c r="B59" s="193">
        <f>-'NCW-1 Regulier'!C60</f>
        <v>0</v>
      </c>
      <c r="C59" s="196">
        <f>'NCW-1 Regulier'!C60</f>
        <v>0</v>
      </c>
      <c r="D59" s="196">
        <f>-'NCW-1 Regulier'!D59</f>
        <v>315</v>
      </c>
      <c r="E59" s="196"/>
      <c r="F59" s="197"/>
      <c r="G59" s="125"/>
      <c r="H59" s="149">
        <f t="shared" si="0"/>
        <v>315</v>
      </c>
      <c r="I59" s="143">
        <f t="shared" si="1"/>
        <v>55.583142373814738</v>
      </c>
    </row>
    <row r="60" spans="1:9" ht="14" x14ac:dyDescent="0.15">
      <c r="A60" s="41">
        <v>38</v>
      </c>
      <c r="B60" s="193">
        <f>-'NCW-1 Regulier'!C61</f>
        <v>0</v>
      </c>
      <c r="C60" s="196">
        <f>'NCW-1 Regulier'!C61</f>
        <v>0</v>
      </c>
      <c r="D60" s="196">
        <f>-'NCW-1 Regulier'!D60</f>
        <v>315</v>
      </c>
      <c r="E60" s="196"/>
      <c r="F60" s="197"/>
      <c r="G60" s="125"/>
      <c r="H60" s="149">
        <f t="shared" si="0"/>
        <v>315</v>
      </c>
      <c r="I60" s="143">
        <f t="shared" si="1"/>
        <v>53.037349593334667</v>
      </c>
    </row>
    <row r="61" spans="1:9" ht="14" x14ac:dyDescent="0.15">
      <c r="A61" s="41">
        <v>39</v>
      </c>
      <c r="B61" s="193">
        <f>-'NCW-1 Regulier'!C62</f>
        <v>0</v>
      </c>
      <c r="C61" s="196">
        <f>'NCW-1 Regulier'!C62</f>
        <v>0</v>
      </c>
      <c r="D61" s="196">
        <f>-'NCW-1 Regulier'!D61</f>
        <v>15</v>
      </c>
      <c r="E61" s="196"/>
      <c r="F61" s="197"/>
      <c r="G61" s="125"/>
      <c r="H61" s="149">
        <f t="shared" si="0"/>
        <v>15</v>
      </c>
      <c r="I61" s="143">
        <f t="shared" si="1"/>
        <v>2.409912286138435</v>
      </c>
    </row>
    <row r="62" spans="1:9" ht="14" x14ac:dyDescent="0.15">
      <c r="A62" s="41">
        <v>40</v>
      </c>
      <c r="B62" s="193">
        <f>-'NCW-1 Regulier'!C63</f>
        <v>0</v>
      </c>
      <c r="C62" s="196">
        <f>'NCW-1 Regulier'!C63</f>
        <v>0</v>
      </c>
      <c r="D62" s="196">
        <f>-'NCW-1 Regulier'!D62</f>
        <v>15</v>
      </c>
      <c r="E62" s="196"/>
      <c r="F62" s="197"/>
      <c r="G62" s="125"/>
      <c r="H62" s="149">
        <f t="shared" si="0"/>
        <v>15</v>
      </c>
      <c r="I62" s="143">
        <f t="shared" si="1"/>
        <v>2.2995346241778951</v>
      </c>
    </row>
    <row r="63" spans="1:9" ht="14" x14ac:dyDescent="0.15">
      <c r="A63" s="41">
        <v>41</v>
      </c>
      <c r="B63" s="193">
        <f>-'NCW-1 Regulier'!C64</f>
        <v>0</v>
      </c>
      <c r="C63" s="196">
        <f>'NCW-1 Regulier'!C64</f>
        <v>0</v>
      </c>
      <c r="D63" s="196">
        <f>-'NCW-1 Regulier'!D63</f>
        <v>15</v>
      </c>
      <c r="E63" s="196"/>
      <c r="F63" s="197"/>
      <c r="G63" s="125"/>
      <c r="H63" s="149">
        <f t="shared" si="0"/>
        <v>15</v>
      </c>
      <c r="I63" s="143">
        <f t="shared" si="1"/>
        <v>2.1942124276506636</v>
      </c>
    </row>
    <row r="64" spans="1:9" ht="14" x14ac:dyDescent="0.15">
      <c r="A64" s="41">
        <v>42</v>
      </c>
      <c r="B64" s="193">
        <f>-'NCW-1 Regulier'!C65</f>
        <v>0</v>
      </c>
      <c r="C64" s="196">
        <f>'NCW-1 Regulier'!C65</f>
        <v>0</v>
      </c>
      <c r="D64" s="196">
        <f>-'NCW-1 Regulier'!D64</f>
        <v>315</v>
      </c>
      <c r="E64" s="196"/>
      <c r="F64" s="197"/>
      <c r="G64" s="125"/>
      <c r="H64" s="149">
        <f t="shared" si="0"/>
        <v>315</v>
      </c>
      <c r="I64" s="143">
        <f t="shared" si="1"/>
        <v>43.967997118954131</v>
      </c>
    </row>
    <row r="65" spans="1:9" ht="14" x14ac:dyDescent="0.15">
      <c r="A65" s="41">
        <v>43</v>
      </c>
      <c r="B65" s="193">
        <f>-'NCW-1 Regulier'!C66</f>
        <v>0</v>
      </c>
      <c r="C65" s="196">
        <f>'NCW-1 Regulier'!C66</f>
        <v>0</v>
      </c>
      <c r="D65" s="196">
        <f>-'NCW-1 Regulier'!D65</f>
        <v>615</v>
      </c>
      <c r="E65" s="196"/>
      <c r="F65" s="197"/>
      <c r="G65" s="125"/>
      <c r="H65" s="149">
        <f t="shared" si="0"/>
        <v>615</v>
      </c>
      <c r="I65" s="143">
        <f t="shared" si="1"/>
        <v>81.910572604376554</v>
      </c>
    </row>
    <row r="66" spans="1:9" ht="14" x14ac:dyDescent="0.15">
      <c r="A66" s="41">
        <v>44</v>
      </c>
      <c r="B66" s="193">
        <f>-'NCW-1 Regulier'!C67</f>
        <v>0</v>
      </c>
      <c r="C66" s="196">
        <f>'NCW-1 Regulier'!C67</f>
        <v>0</v>
      </c>
      <c r="D66" s="196">
        <f>-'NCW-1 Regulier'!D66</f>
        <v>315</v>
      </c>
      <c r="E66" s="196"/>
      <c r="F66" s="197"/>
      <c r="G66" s="125"/>
      <c r="H66" s="149">
        <f t="shared" si="0"/>
        <v>315</v>
      </c>
      <c r="I66" s="143">
        <f t="shared" si="1"/>
        <v>40.03262950781761</v>
      </c>
    </row>
    <row r="67" spans="1:9" ht="14" x14ac:dyDescent="0.15">
      <c r="A67" s="41">
        <v>45</v>
      </c>
      <c r="B67" s="193">
        <f>-'NCW-1 Regulier'!C68</f>
        <v>0</v>
      </c>
      <c r="C67" s="196">
        <f>'NCW-1 Regulier'!C68</f>
        <v>0</v>
      </c>
      <c r="D67" s="196">
        <f>-'NCW-1 Regulier'!D67</f>
        <v>315</v>
      </c>
      <c r="E67" s="196"/>
      <c r="F67" s="197"/>
      <c r="G67" s="125"/>
      <c r="H67" s="149">
        <f t="shared" si="0"/>
        <v>315</v>
      </c>
      <c r="I67" s="143">
        <f t="shared" si="1"/>
        <v>38.199073957841236</v>
      </c>
    </row>
    <row r="68" spans="1:9" ht="14" x14ac:dyDescent="0.15">
      <c r="A68" s="41">
        <v>46</v>
      </c>
      <c r="B68" s="193">
        <f>-'NCW-1 Regulier'!C69</f>
        <v>0</v>
      </c>
      <c r="C68" s="196">
        <f>'NCW-1 Regulier'!C69</f>
        <v>0</v>
      </c>
      <c r="D68" s="196">
        <f>-'NCW-1 Regulier'!D68</f>
        <v>315</v>
      </c>
      <c r="E68" s="196"/>
      <c r="F68" s="197"/>
      <c r="G68" s="125"/>
      <c r="H68" s="149">
        <f t="shared" si="0"/>
        <v>315</v>
      </c>
      <c r="I68" s="143">
        <f t="shared" si="1"/>
        <v>36.449498051375215</v>
      </c>
    </row>
    <row r="69" spans="1:9" ht="14" x14ac:dyDescent="0.15">
      <c r="A69" s="41">
        <v>47</v>
      </c>
      <c r="B69" s="193">
        <f>-'NCW-1 Regulier'!C70</f>
        <v>0</v>
      </c>
      <c r="C69" s="196">
        <f>'NCW-1 Regulier'!C70</f>
        <v>0</v>
      </c>
      <c r="D69" s="196">
        <f>-'NCW-1 Regulier'!D69</f>
        <v>15</v>
      </c>
      <c r="E69" s="196"/>
      <c r="F69" s="197"/>
      <c r="G69" s="125"/>
      <c r="H69" s="149">
        <f t="shared" si="0"/>
        <v>15</v>
      </c>
      <c r="I69" s="143">
        <f t="shared" si="1"/>
        <v>1.6561931139301718</v>
      </c>
    </row>
    <row r="70" spans="1:9" ht="14" x14ac:dyDescent="0.15">
      <c r="A70" s="41">
        <v>48</v>
      </c>
      <c r="B70" s="193">
        <f>-'NCW-1 Regulier'!C71</f>
        <v>0</v>
      </c>
      <c r="C70" s="196">
        <f>'NCW-1 Regulier'!C71</f>
        <v>0</v>
      </c>
      <c r="D70" s="196">
        <f>-'NCW-1 Regulier'!D70</f>
        <v>0</v>
      </c>
      <c r="E70" s="196"/>
      <c r="F70" s="197"/>
      <c r="G70" s="125"/>
      <c r="H70" s="149">
        <f t="shared" si="0"/>
        <v>0</v>
      </c>
      <c r="I70" s="143">
        <f t="shared" si="1"/>
        <v>0</v>
      </c>
    </row>
    <row r="71" spans="1:9" ht="14" x14ac:dyDescent="0.15">
      <c r="A71" s="41">
        <v>49</v>
      </c>
      <c r="B71" s="193">
        <f>-'NCW-1 Regulier'!C72</f>
        <v>0</v>
      </c>
      <c r="C71" s="196">
        <f>'NCW-1 Regulier'!C72</f>
        <v>0</v>
      </c>
      <c r="D71" s="196">
        <f>-'NCW-1 Regulier'!D71</f>
        <v>315</v>
      </c>
      <c r="E71" s="196"/>
      <c r="F71" s="197"/>
      <c r="G71" s="125"/>
      <c r="H71" s="149">
        <f t="shared" si="0"/>
        <v>315</v>
      </c>
      <c r="I71" s="143">
        <f t="shared" si="1"/>
        <v>31.667057019307581</v>
      </c>
    </row>
    <row r="72" spans="1:9" ht="14" x14ac:dyDescent="0.15">
      <c r="A72" s="41">
        <v>50</v>
      </c>
      <c r="B72" s="193">
        <f>-'NCW-1 Regulier'!C73</f>
        <v>0</v>
      </c>
      <c r="C72" s="196">
        <f>'NCW-1 Regulier'!C73</f>
        <v>0</v>
      </c>
      <c r="D72" s="196">
        <f>-'NCW-1 Regulier'!D72</f>
        <v>315</v>
      </c>
      <c r="E72" s="196"/>
      <c r="F72" s="197"/>
      <c r="G72" s="125"/>
      <c r="H72" s="149">
        <f t="shared" si="0"/>
        <v>315</v>
      </c>
      <c r="I72" s="143">
        <f t="shared" si="1"/>
        <v>30.216657461171348</v>
      </c>
    </row>
    <row r="73" spans="1:9" ht="15" thickBot="1" x14ac:dyDescent="0.2">
      <c r="A73" s="42"/>
      <c r="B73" s="42"/>
      <c r="C73" s="152"/>
      <c r="D73" s="178"/>
      <c r="E73" s="179"/>
      <c r="F73" s="180"/>
      <c r="G73" s="166"/>
      <c r="H73" s="165"/>
      <c r="I73" s="144"/>
    </row>
    <row r="74" spans="1:9" ht="15" thickBot="1" x14ac:dyDescent="0.2">
      <c r="A74" s="43" t="s">
        <v>9</v>
      </c>
      <c r="B74" s="69">
        <f>SUM(B22:B73)</f>
        <v>0</v>
      </c>
      <c r="C74" s="181">
        <f t="shared" ref="C74:I74" si="2">SUM(C22:C73)</f>
        <v>0</v>
      </c>
      <c r="D74" s="181">
        <f t="shared" si="2"/>
        <v>10920</v>
      </c>
      <c r="E74" s="181">
        <f t="shared" si="2"/>
        <v>0</v>
      </c>
      <c r="F74" s="151">
        <f t="shared" si="2"/>
        <v>0</v>
      </c>
      <c r="G74" s="156"/>
      <c r="H74" s="154">
        <f>SUM(H22:H73)</f>
        <v>10920</v>
      </c>
      <c r="I74" s="145">
        <f t="shared" si="2"/>
        <v>4378.6050492987479</v>
      </c>
    </row>
    <row r="75" spans="1:9" ht="7.5" customHeight="1" thickBot="1" x14ac:dyDescent="0.2">
      <c r="A75" s="42"/>
      <c r="B75" s="32"/>
      <c r="C75" s="152"/>
      <c r="D75" s="152"/>
      <c r="E75" s="152"/>
      <c r="F75" s="97"/>
      <c r="G75" s="144"/>
      <c r="H75" s="150"/>
      <c r="I75" s="144"/>
    </row>
    <row r="76" spans="1:9" ht="6.75" customHeight="1" thickBot="1" x14ac:dyDescent="0.2">
      <c r="A76" s="64"/>
      <c r="B76" s="182"/>
      <c r="C76" s="153"/>
      <c r="D76" s="153"/>
      <c r="E76" s="153"/>
      <c r="F76" s="101"/>
      <c r="G76" s="157"/>
      <c r="H76" s="155"/>
      <c r="I76" s="146"/>
    </row>
    <row r="77" spans="1:9" ht="18" thickTop="1" thickBot="1" x14ac:dyDescent="0.25">
      <c r="A77" s="49" t="s">
        <v>8</v>
      </c>
      <c r="B77" s="102" t="s">
        <v>40</v>
      </c>
      <c r="C77" s="126"/>
      <c r="D77" s="71"/>
      <c r="E77" s="71"/>
      <c r="F77" s="71"/>
      <c r="G77" s="71"/>
      <c r="H77" s="71"/>
      <c r="I77" s="147">
        <f>H22+NPV(D13,H23:H72)</f>
        <v>4378.6050492987515</v>
      </c>
    </row>
    <row r="78" spans="1:9" ht="15" thickTop="1" thickBot="1" x14ac:dyDescent="0.2">
      <c r="A78" s="23"/>
      <c r="B78" s="24"/>
      <c r="C78" s="24"/>
      <c r="D78" s="24"/>
      <c r="E78" s="24"/>
      <c r="F78" s="24"/>
      <c r="G78" s="24"/>
      <c r="H78" s="24"/>
      <c r="I78" s="24"/>
    </row>
    <row r="79" spans="1:9" ht="14" thickTop="1" x14ac:dyDescent="0.15">
      <c r="A79" s="1"/>
      <c r="B79" s="1"/>
      <c r="C79" s="1"/>
      <c r="D79" s="1"/>
      <c r="E79" s="1"/>
      <c r="F79" s="1"/>
      <c r="G79" s="1"/>
      <c r="H79" s="1"/>
      <c r="I79" s="1"/>
    </row>
    <row r="80" spans="1:9" ht="16" x14ac:dyDescent="0.2">
      <c r="A80" s="13"/>
      <c r="B80" s="1"/>
      <c r="C80" s="1"/>
      <c r="D80" s="1"/>
      <c r="E80" s="1"/>
      <c r="F80" s="1"/>
      <c r="G80" s="1"/>
      <c r="H80" s="1"/>
      <c r="I80" s="1"/>
    </row>
    <row r="82" spans="1:1" x14ac:dyDescent="0.15">
      <c r="A82" s="1"/>
    </row>
    <row r="83" spans="1:1" x14ac:dyDescent="0.15">
      <c r="A83" s="1"/>
    </row>
  </sheetData>
  <phoneticPr fontId="14" type="noConversion"/>
  <printOptions horizontalCentered="1" verticalCentered="1" headings="1"/>
  <pageMargins left="0.78740157480314965" right="0.78740157480314965" top="0.62992125984251968" bottom="0.47244094488188981" header="0.59055118110236227" footer="0.27559055118110237"/>
  <pageSetup paperSize="9" scale="91" orientation="landscape" horizontalDpi="300" verticalDpi="300"/>
  <headerFooter alignWithMargins="0">
    <oddFooter>&amp;L&amp;"Times New Roman,Standaard"&amp;12&amp;A&amp;C&amp;"Times New Roman,Standaard"&amp;F&amp;R&amp;"Times New Roman,Standaard"&amp;14 3-3-110M Blatt 02</oddFooter>
  </headerFooter>
  <ignoredErrors>
    <ignoredError sqref="H22:H24" formulaRange="1"/>
  </ignoredErrors>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8</vt:i4>
      </vt:variant>
    </vt:vector>
  </HeadingPairs>
  <TitlesOfParts>
    <vt:vector size="8" baseType="lpstr">
      <vt:lpstr>NCW-1 PITH</vt:lpstr>
      <vt:lpstr>NCW-1 Regulier</vt:lpstr>
      <vt:lpstr>Overzicht en kosten</vt:lpstr>
      <vt:lpstr>Spec. systeem</vt:lpstr>
      <vt:lpstr>Spec. steigerkosten</vt:lpstr>
      <vt:lpstr>Voordelen en uitwerking</vt:lpstr>
      <vt:lpstr>NCW-2</vt:lpstr>
      <vt:lpstr>NCW-alt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Investitionscontrolling</dc:title>
  <dc:subject>Dyn. Investitionsrechnungen/Kapitalwert-Berechnungen</dc:subject>
  <dc:creator>K.Laue</dc:creator>
  <cp:keywords/>
  <dc:description/>
  <cp:lastModifiedBy>André Tijssen</cp:lastModifiedBy>
  <cp:lastPrinted>2017-11-08T15:59:35Z</cp:lastPrinted>
  <dcterms:created xsi:type="dcterms:W3CDTF">1997-01-19T12:43:24Z</dcterms:created>
  <dcterms:modified xsi:type="dcterms:W3CDTF">2018-03-06T21:30:44Z</dcterms:modified>
</cp:coreProperties>
</file>